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-hebert\Desktop\"/>
    </mc:Choice>
  </mc:AlternateContent>
  <xr:revisionPtr revIDLastSave="0" documentId="13_ncr:1_{C50DC2FC-5EAF-4086-9C2B-04871084A286}" xr6:coauthVersionLast="47" xr6:coauthVersionMax="47" xr10:uidLastSave="{00000000-0000-0000-0000-000000000000}"/>
  <bookViews>
    <workbookView xWindow="-120" yWindow="-120" windowWidth="20730" windowHeight="11160" xr2:uid="{A89C9EA4-6D5A-457C-A1CB-C3D5DCA9BA41}"/>
  </bookViews>
  <sheets>
    <sheet name="Term Structure" sheetId="1" r:id="rId1"/>
  </sheets>
  <definedNames>
    <definedName name="_xlnm._FilterDatabase" localSheetId="0" hidden="1">'Term Structure'!$J$7:$L$7</definedName>
    <definedName name="Avg">'Term Structure'!$M$8:INDEX('Term Structure'!$M$8:$M$81, COUNT('Term Structure'!$M$8:$M$81))</definedName>
    <definedName name="Dates">'Term Structure'!$J$8:INDEX('Term Structure'!$J$8:$J$81, COUNT('Term Structure'!$J$8:$J$81))</definedName>
    <definedName name="Straddle">'Term Structure'!$L$8:INDEX('Term Structure'!$L$8:$L$81, COUNT('Term Structure'!$L$8:$L$81))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1" l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K43" i="1"/>
  <c r="B5" i="1"/>
  <c r="B11" i="1"/>
  <c r="B35" i="1"/>
  <c r="B59" i="1"/>
  <c r="B83" i="1"/>
  <c r="B107" i="1"/>
  <c r="B17" i="1"/>
  <c r="B41" i="1"/>
  <c r="B65" i="1"/>
  <c r="B89" i="1"/>
  <c r="B29" i="1"/>
  <c r="B101" i="1"/>
  <c r="B53" i="1"/>
  <c r="B23" i="1"/>
  <c r="B47" i="1"/>
  <c r="B71" i="1"/>
  <c r="B95" i="1"/>
  <c r="B3" i="1"/>
  <c r="B77" i="1"/>
  <c r="G95" i="1"/>
  <c r="G11" i="1"/>
  <c r="G47" i="1"/>
  <c r="F71" i="1"/>
  <c r="G65" i="1"/>
  <c r="F77" i="1"/>
  <c r="F47" i="1"/>
  <c r="G59" i="1"/>
  <c r="F35" i="1"/>
  <c r="F11" i="1"/>
  <c r="G83" i="1"/>
  <c r="G5" i="1"/>
  <c r="F101" i="1"/>
  <c r="F89" i="1"/>
  <c r="G29" i="1"/>
  <c r="G107" i="1"/>
  <c r="F95" i="1"/>
  <c r="G41" i="1"/>
  <c r="F5" i="1"/>
  <c r="E8" i="1" s="1"/>
  <c r="F29" i="1"/>
  <c r="E14" i="1"/>
  <c r="B14" i="1" s="1"/>
  <c r="C14" i="1" s="1"/>
  <c r="F65" i="1"/>
  <c r="F17" i="1"/>
  <c r="F23" i="1"/>
  <c r="F59" i="1"/>
  <c r="G89" i="1"/>
  <c r="G77" i="1"/>
  <c r="F53" i="1"/>
  <c r="F83" i="1"/>
  <c r="F8" i="1"/>
  <c r="G17" i="1"/>
  <c r="F107" i="1"/>
  <c r="G23" i="1"/>
  <c r="G71" i="1"/>
  <c r="G35" i="1"/>
  <c r="F41" i="1"/>
  <c r="D14" i="1"/>
  <c r="G53" i="1"/>
  <c r="G101" i="1"/>
  <c r="E62" i="1"/>
  <c r="B62" i="1" s="1"/>
  <c r="G8" i="1"/>
  <c r="F62" i="1"/>
  <c r="H8" i="1"/>
  <c r="F14" i="1"/>
  <c r="D62" i="1"/>
  <c r="C62" i="1"/>
  <c r="G62" i="1"/>
  <c r="H62" i="1"/>
  <c r="G14" i="1"/>
  <c r="H14" i="1"/>
  <c r="M41" i="1" l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E110" i="1"/>
  <c r="E44" i="1"/>
  <c r="B44" i="1"/>
  <c r="E92" i="1"/>
  <c r="E32" i="1"/>
  <c r="E80" i="1"/>
  <c r="E104" i="1"/>
  <c r="F104" i="1" s="1"/>
  <c r="B104" i="1"/>
  <c r="C104" i="1" s="1"/>
  <c r="E98" i="1"/>
  <c r="B98" i="1"/>
  <c r="C98" i="1" s="1"/>
  <c r="E74" i="1"/>
  <c r="B74" i="1"/>
  <c r="F98" i="1"/>
  <c r="D98" i="1"/>
  <c r="D44" i="1"/>
  <c r="E68" i="1"/>
  <c r="B68" i="1" s="1"/>
  <c r="D68" i="1"/>
  <c r="G98" i="1"/>
  <c r="E56" i="1"/>
  <c r="F56" i="1" s="1"/>
  <c r="G56" i="1" s="1"/>
  <c r="E20" i="1"/>
  <c r="B20" i="1" s="1"/>
  <c r="B56" i="1"/>
  <c r="C56" i="1" s="1"/>
  <c r="B92" i="1"/>
  <c r="D92" i="1" s="1"/>
  <c r="C74" i="1"/>
  <c r="C68" i="1"/>
  <c r="H98" i="1"/>
  <c r="E38" i="1"/>
  <c r="B38" i="1" s="1"/>
  <c r="B80" i="1"/>
  <c r="D74" i="1"/>
  <c r="C44" i="1"/>
  <c r="E26" i="1"/>
  <c r="B8" i="1"/>
  <c r="C8" i="1" s="1"/>
  <c r="F68" i="1"/>
  <c r="F80" i="1"/>
  <c r="D8" i="1"/>
  <c r="D56" i="1"/>
  <c r="G80" i="1"/>
  <c r="H80" i="1"/>
  <c r="E86" i="1"/>
  <c r="E50" i="1"/>
  <c r="D104" i="1"/>
  <c r="H56" i="1"/>
  <c r="C92" i="1"/>
  <c r="B110" i="1"/>
  <c r="B32" i="1"/>
  <c r="F32" i="1"/>
  <c r="H104" i="1"/>
  <c r="G104" i="1"/>
  <c r="C20" i="1"/>
  <c r="D20" i="1"/>
  <c r="D38" i="1"/>
  <c r="C38" i="1"/>
  <c r="C80" i="1"/>
  <c r="D80" i="1"/>
  <c r="F26" i="1"/>
  <c r="B26" i="1"/>
  <c r="H68" i="1"/>
  <c r="G68" i="1"/>
  <c r="F86" i="1"/>
  <c r="B86" i="1"/>
  <c r="F50" i="1"/>
  <c r="B50" i="1"/>
  <c r="D110" i="1"/>
  <c r="C110" i="1"/>
  <c r="C32" i="1"/>
  <c r="D32" i="1"/>
  <c r="G32" i="1"/>
  <c r="G26" i="1"/>
  <c r="H26" i="1"/>
  <c r="C26" i="1"/>
  <c r="D26" i="1"/>
  <c r="G86" i="1"/>
  <c r="H86" i="1"/>
  <c r="C86" i="1"/>
  <c r="D86" i="1"/>
  <c r="H50" i="1"/>
  <c r="G50" i="1"/>
  <c r="C50" i="1"/>
  <c r="D50" i="1"/>
  <c r="M40" i="1" l="1"/>
  <c r="M39" i="1"/>
  <c r="M35" i="1"/>
  <c r="M31" i="1"/>
  <c r="M36" i="1"/>
  <c r="M32" i="1"/>
  <c r="M28" i="1"/>
  <c r="M38" i="1"/>
  <c r="M34" i="1"/>
  <c r="M37" i="1"/>
  <c r="M33" i="1"/>
  <c r="Q4" i="1"/>
  <c r="M8" i="1"/>
  <c r="F110" i="1"/>
  <c r="F38" i="1"/>
  <c r="F20" i="1"/>
  <c r="F92" i="1"/>
  <c r="H20" i="1"/>
  <c r="F44" i="1"/>
  <c r="H44" i="1"/>
  <c r="H32" i="1"/>
  <c r="H92" i="1"/>
  <c r="H38" i="1"/>
  <c r="F74" i="1"/>
  <c r="H74" i="1" s="1"/>
  <c r="H110" i="1"/>
  <c r="G110" i="1"/>
  <c r="M30" i="1" l="1"/>
  <c r="M29" i="1"/>
  <c r="M23" i="1"/>
  <c r="M25" i="1"/>
  <c r="M18" i="1"/>
  <c r="M12" i="1"/>
  <c r="M20" i="1"/>
  <c r="M22" i="1"/>
  <c r="M26" i="1"/>
  <c r="M24" i="1"/>
  <c r="M16" i="1"/>
  <c r="M27" i="1"/>
  <c r="M15" i="1"/>
  <c r="M13" i="1"/>
  <c r="M19" i="1"/>
  <c r="M10" i="1"/>
  <c r="M21" i="1"/>
  <c r="M14" i="1"/>
  <c r="M17" i="1"/>
  <c r="M11" i="1"/>
  <c r="M9" i="1"/>
  <c r="N41" i="1"/>
  <c r="N40" i="1"/>
  <c r="N39" i="1"/>
  <c r="N38" i="1"/>
  <c r="N37" i="1"/>
  <c r="N36" i="1"/>
  <c r="N35" i="1"/>
  <c r="N34" i="1"/>
  <c r="N33" i="1"/>
  <c r="N32" i="1"/>
  <c r="N31" i="1"/>
  <c r="N28" i="1"/>
  <c r="N27" i="1"/>
  <c r="N26" i="1"/>
  <c r="N25" i="1"/>
  <c r="N24" i="1"/>
  <c r="N23" i="1"/>
  <c r="L41" i="1"/>
  <c r="L40" i="1"/>
  <c r="L39" i="1"/>
  <c r="L38" i="1"/>
  <c r="L37" i="1"/>
  <c r="L36" i="1"/>
  <c r="L35" i="1"/>
  <c r="L34" i="1"/>
  <c r="L33" i="1"/>
  <c r="L32" i="1"/>
  <c r="L31" i="1"/>
  <c r="L28" i="1"/>
  <c r="L27" i="1"/>
  <c r="L26" i="1"/>
  <c r="L25" i="1"/>
  <c r="L24" i="1"/>
  <c r="L23" i="1"/>
  <c r="K39" i="1"/>
  <c r="K38" i="1"/>
  <c r="K37" i="1"/>
  <c r="K36" i="1"/>
  <c r="K35" i="1"/>
  <c r="K34" i="1"/>
  <c r="K33" i="1"/>
  <c r="K32" i="1"/>
  <c r="K31" i="1"/>
  <c r="K30" i="1"/>
  <c r="K29" i="1"/>
  <c r="K28" i="1"/>
  <c r="G74" i="1"/>
  <c r="G92" i="1"/>
  <c r="G38" i="1"/>
  <c r="G20" i="1"/>
  <c r="G44" i="1"/>
  <c r="N29" i="1" l="1"/>
  <c r="L29" i="1"/>
  <c r="L30" i="1"/>
  <c r="N30" i="1"/>
  <c r="N22" i="1"/>
  <c r="N21" i="1"/>
  <c r="N20" i="1"/>
  <c r="N19" i="1"/>
  <c r="N18" i="1"/>
  <c r="N17" i="1"/>
  <c r="N15" i="1"/>
  <c r="N16" i="1"/>
  <c r="N14" i="1"/>
  <c r="N13" i="1"/>
  <c r="N12" i="1"/>
  <c r="L12" i="1"/>
  <c r="N10" i="1"/>
  <c r="N9" i="1"/>
  <c r="N8" i="1"/>
  <c r="N11" i="1"/>
  <c r="L22" i="1"/>
  <c r="L21" i="1"/>
  <c r="L20" i="1"/>
  <c r="L19" i="1"/>
  <c r="L18" i="1"/>
  <c r="L17" i="1"/>
  <c r="L16" i="1"/>
  <c r="L15" i="1"/>
  <c r="L14" i="1"/>
  <c r="L13" i="1"/>
  <c r="L11" i="1"/>
  <c r="L10" i="1"/>
  <c r="L9" i="1"/>
  <c r="L8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8" i="1"/>
  <c r="J14" i="1"/>
  <c r="J13" i="1"/>
  <c r="J12" i="1"/>
  <c r="J11" i="1"/>
  <c r="J10" i="1"/>
  <c r="J9" i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1" i="1"/>
  <c r="J42" i="1"/>
  <c r="J41" i="1"/>
  <c r="J44" i="1"/>
  <c r="K40" i="1"/>
</calcChain>
</file>

<file path=xl/sharedStrings.xml><?xml version="1.0" encoding="utf-8"?>
<sst xmlns="http://schemas.openxmlformats.org/spreadsheetml/2006/main" count="293" uniqueCount="16">
  <si>
    <t>Symbol</t>
  </si>
  <si>
    <t>Type</t>
  </si>
  <si>
    <t>Expiration Date</t>
  </si>
  <si>
    <t>DTE</t>
  </si>
  <si>
    <t>Last</t>
  </si>
  <si>
    <t>Timestamp</t>
  </si>
  <si>
    <t>Equity Options</t>
  </si>
  <si>
    <t>Calls</t>
  </si>
  <si>
    <t>Puts</t>
  </si>
  <si>
    <t>ImpliedVolatility</t>
  </si>
  <si>
    <t>Strike</t>
  </si>
  <si>
    <t>Expiration</t>
  </si>
  <si>
    <t>Average IV</t>
  </si>
  <si>
    <t>Current Straddle</t>
  </si>
  <si>
    <t>Use Barchart --&gt; Options Prices to insert symbol in B3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</si>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</sst>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400]h:mm:ss\ AM/PM"/>
    <numFmt numFmtId="165" formatCode="General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92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30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10" fontId="0" fillId="0" borderId="0" xfId="0" applyNumberFormat="1"/>
    <xf numFmtId="4" fontId="0" fillId="2" borderId="0" xfId="0" applyNumberFormat="1" applyFill="1"/>
    <xf numFmtId="10" fontId="3" fillId="0" borderId="0" xfId="0" applyNumberFormat="1" applyFont="1"/>
    <xf numFmtId="14" fontId="4" fillId="0" borderId="1" xfId="0" applyNumberFormat="1" applyFont="1" applyBorder="1"/>
    <xf numFmtId="10" fontId="0" fillId="0" borderId="0" xfId="0" applyNumberFormat="1" applyBorder="1"/>
    <xf numFmtId="14" fontId="0" fillId="0" borderId="1" xfId="0" applyNumberFormat="1" applyFont="1" applyBorder="1"/>
    <xf numFmtId="0" fontId="5" fillId="0" borderId="0" xfId="0" applyFont="1"/>
    <xf numFmtId="165" fontId="0" fillId="0" borderId="0" xfId="0" applyNumberFormat="1"/>
    <xf numFmtId="0" fontId="3" fillId="3" borderId="0" xfId="0" applyFont="1" applyFill="1"/>
    <xf numFmtId="44" fontId="0" fillId="0" borderId="0" xfId="1" applyFont="1"/>
    <xf numFmtId="44" fontId="0" fillId="0" borderId="2" xfId="1" applyFont="1" applyBorder="1"/>
    <xf numFmtId="44" fontId="3" fillId="0" borderId="0" xfId="1" applyFont="1" applyBorder="1"/>
    <xf numFmtId="44" fontId="3" fillId="0" borderId="0" xfId="1" applyFont="1"/>
    <xf numFmtId="0" fontId="6" fillId="0" borderId="0" xfId="0" applyFont="1" applyAlignment="1">
      <alignment vertical="center" wrapText="1"/>
    </xf>
    <xf numFmtId="0" fontId="7" fillId="4" borderId="3" xfId="0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44" fontId="0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2" applyAlignment="1">
      <alignment horizontal="center"/>
    </xf>
    <xf numFmtId="0" fontId="6" fillId="0" borderId="0" xfId="0" applyFont="1" applyAlignment="1">
      <alignment horizontal="left" vertical="center" wrapText="1" indent="3"/>
    </xf>
  </cellXfs>
  <cellStyles count="3">
    <cellStyle name="Currency" xfId="1" builtinId="4"/>
    <cellStyle name="Normal" xfId="0" builtinId="0"/>
    <cellStyle name="Normal 2" xfId="2" xr:uid="{E29C3C03-7A07-4E56-8419-EDE4BE7A5F9F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archart.rtd">
      <tp>
        <v>44536.776145833333</v>
        <stp>brendan-laptop-</stp>
        <stp>1</stp>
        <stp>Timestamp</stp>
        <stp>TSLA</stp>
        <tr r="G101" s="1"/>
        <tr r="G53" s="1"/>
        <tr r="G35" s="1"/>
        <tr r="G71" s="1"/>
        <tr r="G23" s="1"/>
        <tr r="G17" s="1"/>
        <tr r="G77" s="1"/>
        <tr r="G89" s="1"/>
        <tr r="G41" s="1"/>
        <tr r="G107" s="1"/>
        <tr r="G29" s="1"/>
        <tr r="G5" s="1"/>
        <tr r="G83" s="1"/>
        <tr r="G59" s="1"/>
        <tr r="G65" s="1"/>
        <tr r="G47" s="1"/>
        <tr r="G11" s="1"/>
        <tr r="G95" s="1"/>
      </tp>
      <tp>
        <v>86.05</v>
        <stp>brendan-laptop-</stp>
        <stp>1</stp>
        <stp>Last</stp>
        <stp>TSLA|20220107|1010.00C</stp>
        <tr r="C32" s="1"/>
      </tp>
      <tp>
        <v>85.5</v>
        <stp>brendan-laptop-</stp>
        <stp>1</stp>
        <stp>Last</stp>
        <stp>TSLA|20220107|1010.00P</stp>
        <tr r="G32" s="1"/>
      </tp>
      <tp>
        <v>304.77999999999997</v>
        <stp>brendan-laptop-</stp>
        <stp>1</stp>
        <stp>Last</stp>
        <stp>TSLA|20230317|1000.00C</stp>
        <tr r="C98" s="1"/>
      </tp>
      <tp>
        <v>229.8</v>
        <stp>brendan-laptop-</stp>
        <stp>1</stp>
        <stp>Last</stp>
        <stp>TSLA|20220916|1000.00C</stp>
        <tr r="C86" s="1"/>
      </tp>
      <tp>
        <v>280</v>
        <stp>brendan-laptop-</stp>
        <stp>1</stp>
        <stp>Last</stp>
        <stp>TSLA|20230317|1000.00P</stp>
        <tr r="G98" s="1"/>
      </tp>
      <tp>
        <v>225</v>
        <stp>brendan-laptop-</stp>
        <stp>1</stp>
        <stp>Last</stp>
        <stp>TSLA|20220916|1000.00P</stp>
        <tr r="G86" s="1"/>
      </tp>
      <tp>
        <v>202.25</v>
        <stp>brendan-laptop-</stp>
        <stp>1</stp>
        <stp>Last</stp>
        <stp>TSLA|20220617|1000.00C</stp>
        <tr r="C74" s="1"/>
      </tp>
      <tp>
        <v>324.89999999999998</v>
        <stp>brendan-laptop-</stp>
        <stp>1</stp>
        <stp>Last</stp>
        <stp>TSLA|20230616|1000.00C</stp>
        <tr r="C104" s="1"/>
      </tp>
      <tp>
        <v>192.4</v>
        <stp>brendan-laptop-</stp>
        <stp>1</stp>
        <stp>Last</stp>
        <stp>TSLA|20220617|1000.00P</stp>
        <tr r="G74" s="1"/>
      </tp>
      <tp>
        <v>315.77999999999997</v>
        <stp>brendan-laptop-</stp>
        <stp>1</stp>
        <stp>Last</stp>
        <stp>TSLA|20230616|1000.00P</stp>
        <tr r="G104" s="1"/>
      </tp>
      <tp>
        <v>170.65</v>
        <stp>brendan-laptop-</stp>
        <stp>1</stp>
        <stp>Last</stp>
        <stp>TSLA|20220414|1000.00C</stp>
        <tr r="C62" s="1"/>
      </tp>
      <tp>
        <v>160.69999999999999</v>
        <stp>brendan-laptop-</stp>
        <stp>1</stp>
        <stp>Last</stp>
        <stp>TSLA|20220414|1000.00P</stp>
        <tr r="G62" s="1"/>
      </tp>
      <tp>
        <v>50.7</v>
        <stp>brendan-laptop-</stp>
        <stp>1</stp>
        <stp>Last</stp>
        <stp>TSLA|20211217|1010.00C</stp>
        <tr r="C14" s="1"/>
      </tp>
      <tp>
        <v>222</v>
        <stp>brendan-laptop-</stp>
        <stp>1</stp>
        <stp>Last</stp>
        <stp>TSLA|20220715|1000.00C</stp>
        <tr r="C80" s="1"/>
      </tp>
      <tp>
        <v>94.88</v>
        <stp>brendan-laptop-</stp>
        <stp>1</stp>
        <stp>Last</stp>
        <stp>TSLA|20220114|1010.00C</stp>
        <tr r="C38" s="1"/>
      </tp>
      <tp>
        <v>205.73</v>
        <stp>brendan-laptop-</stp>
        <stp>1</stp>
        <stp>Last</stp>
        <stp>TSLA|20220715|1000.00P</stp>
        <tr r="G80" s="1"/>
      </tp>
      <tp>
        <v>95.45</v>
        <stp>brendan-laptop-</stp>
        <stp>1</stp>
        <stp>Last</stp>
        <stp>TSLA|20220114|1010.00P</stp>
        <tr r="G38" s="1"/>
      </tp>
      <tp>
        <v>52.3</v>
        <stp>brendan-laptop-</stp>
        <stp>1</stp>
        <stp>Last</stp>
        <stp>TSLA|20211217|1010.00P</stp>
        <tr r="G14" s="1"/>
      </tp>
      <tp>
        <v>30.55</v>
        <stp>brendan-laptop-</stp>
        <stp>1</stp>
        <stp>Last</stp>
        <stp>TSLA|20211210|1010.00C</stp>
        <tr r="C8" s="1"/>
      </tp>
      <tp>
        <v>31.73</v>
        <stp>brendan-laptop-</stp>
        <stp>1</stp>
        <stp>Last</stp>
        <stp>TSLA|20211210|1010.00P</stp>
        <tr r="G8" s="1"/>
      </tp>
      <tp>
        <v>384</v>
        <stp>brendan-laptop-</stp>
        <stp>1</stp>
        <stp>Last</stp>
        <stp>TSLA|20240119|1000.00C</stp>
        <tr r="C110" s="1"/>
      </tp>
      <tp>
        <v>348</v>
        <stp>brendan-laptop-</stp>
        <stp>1</stp>
        <stp>Last</stp>
        <stp>TSLA|20240119|1000.00P</stp>
        <tr r="G110" s="1"/>
      </tp>
      <tp>
        <v>150.4</v>
        <stp>brendan-laptop-</stp>
        <stp>1</stp>
        <stp>Last</stp>
        <stp>TSLA|20220318|1010.00C</stp>
        <tr r="C56" s="1"/>
      </tp>
      <tp>
        <v>132.57</v>
        <stp>brendan-laptop-</stp>
        <stp>1</stp>
        <stp>Last</stp>
        <stp>TSLA|20220218|1010.00C</stp>
        <tr r="C50" s="1"/>
      </tp>
      <tp>
        <v>151.25</v>
        <stp>brendan-laptop-</stp>
        <stp>1</stp>
        <stp>Last</stp>
        <stp>TSLA|20220318|1010.00P</stp>
        <tr r="G56" s="1"/>
      </tp>
      <tp>
        <v>134.05000000000001</v>
        <stp>brendan-laptop-</stp>
        <stp>1</stp>
        <stp>Last</stp>
        <stp>TSLA|20220218|1010.00P</stp>
        <tr r="G50" s="1"/>
      </tp>
      <tp>
        <v>189.52</v>
        <stp>brendan-laptop-</stp>
        <stp>1</stp>
        <stp>Last</stp>
        <stp>TSLA|20220520|1000.00C</stp>
        <tr r="C68" s="1"/>
      </tp>
      <tp>
        <v>102</v>
        <stp>brendan-laptop-</stp>
        <stp>1</stp>
        <stp>Last</stp>
        <stp>TSLA|20220121|1010.00C</stp>
        <tr r="C44" s="1"/>
      </tp>
      <tp>
        <v>180.9</v>
        <stp>brendan-laptop-</stp>
        <stp>1</stp>
        <stp>Last</stp>
        <stp>TSLA|20220520|1000.00P</stp>
        <tr r="G68" s="1"/>
      </tp>
      <tp>
        <v>102.78</v>
        <stp>brendan-laptop-</stp>
        <stp>1</stp>
        <stp>Last</stp>
        <stp>TSLA|20220121|1010.00P</stp>
        <tr r="G44" s="1"/>
      </tp>
      <tp>
        <v>61.75</v>
        <stp>brendan-laptop-</stp>
        <stp>1</stp>
        <stp>Last</stp>
        <stp>TSLA|20211223|1010.00C</stp>
        <tr r="C20" s="1"/>
      </tp>
      <tp>
        <v>283.14999999999998</v>
        <stp>brendan-laptop-</stp>
        <stp>1</stp>
        <stp>Last</stp>
        <stp>TSLA|20230120|1000.00C</stp>
        <tr r="C92" s="1"/>
      </tp>
      <tp>
        <v>264.64999999999998</v>
        <stp>brendan-laptop-</stp>
        <stp>1</stp>
        <stp>Last</stp>
        <stp>TSLA|20230120|1000.00P</stp>
        <tr r="G92" s="1"/>
      </tp>
      <tp>
        <v>63.09</v>
        <stp>brendan-laptop-</stp>
        <stp>1</stp>
        <stp>Last</stp>
        <stp>TSLA|20211223|1010.00P</stp>
        <tr r="G20" s="1"/>
      </tp>
      <tp>
        <v>71.5</v>
        <stp>brendan-laptop-</stp>
        <stp>1</stp>
        <stp>Last</stp>
        <stp>TSLA|20211231|1010.00C</stp>
        <tr r="C26" s="1"/>
      </tp>
      <tp>
        <v>75.8</v>
        <stp>brendan-laptop-</stp>
        <stp>1</stp>
        <stp>Last</stp>
        <stp>TSLA|20211231|1010.00P</stp>
        <tr r="G26" s="1"/>
      </tp>
      <tp>
        <v>0.72709999999999997</v>
        <stp>brendan-laptop-</stp>
        <stp>1</stp>
        <stp>ImpliedVolatility</stp>
        <stp>TSLA|20220107|1010.00C</stp>
        <tr r="D32" s="1"/>
      </tp>
      <tp>
        <v>0.71430000000000005</v>
        <stp>brendan-laptop-</stp>
        <stp>1</stp>
        <stp>ImpliedVolatility</stp>
        <stp>TSLA|20220107|1010.00P</stp>
        <tr r="H32" s="1"/>
      </tp>
      <tp>
        <v>1000</v>
        <stp>brendan-laptop-</stp>
        <stp>*BCOST</stp>
        <stp>TSLA</stp>
        <stp>Equity Options</stp>
        <stp>45093</stp>
        <stp>1009.01</stp>
        <stp>0</stp>
        <tr r="E104" s="1"/>
      </tp>
      <tp>
        <v>1010</v>
        <stp>brendan-laptop-</stp>
        <stp>*BCOST</stp>
        <stp>TSLA</stp>
        <stp>Equity Options</stp>
        <stp>44553</stp>
        <stp>1009.01</stp>
        <stp>0</stp>
        <tr r="E20" s="1"/>
      </tp>
      <tp>
        <v>0.73640000000000005</v>
        <stp>brendan-laptop-</stp>
        <stp>1</stp>
        <stp>ImpliedVolatility</stp>
        <stp>TSLA|20211210|1010.00C</stp>
        <tr r="D8" s="1"/>
      </tp>
      <tp>
        <v>0.74109999999999998</v>
        <stp>brendan-laptop-</stp>
        <stp>1</stp>
        <stp>ImpliedVolatility</stp>
        <stp>TSLA|20211210|1010.00P</stp>
        <tr r="H8" s="1"/>
      </tp>
      <tp>
        <v>0.70469999999999999</v>
        <stp>brendan-laptop-</stp>
        <stp>1</stp>
        <stp>ImpliedVolatility</stp>
        <stp>TSLA|20220414|1000.00C</stp>
        <tr r="D62" s="1"/>
      </tp>
      <tp>
        <v>0.70150000000000001</v>
        <stp>brendan-laptop-</stp>
        <stp>1</stp>
        <stp>ImpliedVolatility</stp>
        <stp>TSLA|20220414|1000.00P</stp>
        <tr r="H62" s="1"/>
      </tp>
      <tp>
        <v>0.73260000000000003</v>
        <stp>brendan-laptop-</stp>
        <stp>1</stp>
        <stp>ImpliedVolatility</stp>
        <stp>TSLA|20211217|1010.00C</stp>
        <tr r="D14" s="1"/>
      </tp>
      <tp>
        <v>0.70709999999999995</v>
        <stp>brendan-laptop-</stp>
        <stp>1</stp>
        <stp>ImpliedVolatility</stp>
        <stp>TSLA|20220715|1000.00C</stp>
        <tr r="D80" s="1"/>
      </tp>
      <tp>
        <v>0.72609999999999997</v>
        <stp>brendan-laptop-</stp>
        <stp>1</stp>
        <stp>ImpliedVolatility</stp>
        <stp>TSLA|20220114|1010.00C</stp>
        <tr r="D38" s="1"/>
      </tp>
      <tp>
        <v>0.68459999999999999</v>
        <stp>brendan-laptop-</stp>
        <stp>1</stp>
        <stp>ImpliedVolatility</stp>
        <stp>TSLA|20220715|1000.00P</stp>
        <tr r="H80" s="1"/>
      </tp>
      <tp>
        <v>0.72319999999999995</v>
        <stp>brendan-laptop-</stp>
        <stp>1</stp>
        <stp>ImpliedVolatility</stp>
        <stp>TSLA|20220114|1010.00P</stp>
        <tr r="H38" s="1"/>
      </tp>
      <tp>
        <v>0.74170000000000003</v>
        <stp>brendan-laptop-</stp>
        <stp>1</stp>
        <stp>ImpliedVolatility</stp>
        <stp>TSLA|20211217|1010.00P</stp>
        <tr r="H14" s="1"/>
      </tp>
      <tp>
        <v>0.6774</v>
        <stp>brendan-laptop-</stp>
        <stp>1</stp>
        <stp>ImpliedVolatility</stp>
        <stp>TSLA|20230317|1000.00C</stp>
        <tr r="D98" s="1"/>
      </tp>
      <tp>
        <v>0.67689999999999995</v>
        <stp>brendan-laptop-</stp>
        <stp>1</stp>
        <stp>ImpliedVolatility</stp>
        <stp>TSLA|20220916|1000.00C</stp>
        <tr r="D86" s="1"/>
      </tp>
      <tp>
        <v>0.64710000000000001</v>
        <stp>brendan-laptop-</stp>
        <stp>1</stp>
        <stp>ImpliedVolatility</stp>
        <stp>TSLA|20230317|1000.00P</stp>
        <tr r="H98" s="1"/>
      </tp>
      <tp>
        <v>0.66059999999999997</v>
        <stp>brendan-laptop-</stp>
        <stp>1</stp>
        <stp>ImpliedVolatility</stp>
        <stp>TSLA|20220916|1000.00P</stp>
        <tr r="H86" s="1"/>
      </tp>
      <tp>
        <v>0.68669999999999998</v>
        <stp>brendan-laptop-</stp>
        <stp>1</stp>
        <stp>ImpliedVolatility</stp>
        <stp>TSLA|20220617|1000.00C</stp>
        <tr r="D74" s="1"/>
      </tp>
      <tp>
        <v>0.66310000000000002</v>
        <stp>brendan-laptop-</stp>
        <stp>1</stp>
        <stp>ImpliedVolatility</stp>
        <stp>TSLA|20230616|1000.00C</stp>
        <tr r="D104" s="1"/>
      </tp>
      <tp>
        <v>0.68520000000000003</v>
        <stp>brendan-laptop-</stp>
        <stp>1</stp>
        <stp>ImpliedVolatility</stp>
        <stp>TSLA|20220617|1000.00P</stp>
        <tr r="H74" s="1"/>
      </tp>
      <tp>
        <v>0.64600000000000002</v>
        <stp>brendan-laptop-</stp>
        <stp>1</stp>
        <stp>ImpliedVolatility</stp>
        <stp>TSLA|20230616|1000.00P</stp>
        <tr r="H104" s="1"/>
      </tp>
      <tp>
        <v>1000</v>
        <stp>brendan-laptop-</stp>
        <stp>*BCOST</stp>
        <stp>TSLA</stp>
        <stp>Equity Options</stp>
        <stp>45002</stp>
        <stp>1009.01</stp>
        <stp>0</stp>
        <tr r="E98" s="1"/>
      </tp>
      <tp>
        <v>0.71619999999999995</v>
        <stp>brendan-laptop-</stp>
        <stp>1</stp>
        <stp>ImpliedVolatility</stp>
        <stp>TSLA|20220318|1010.00C</stp>
        <tr r="D56" s="1"/>
      </tp>
      <tp>
        <v>0.73699999999999999</v>
        <stp>brendan-laptop-</stp>
        <stp>1</stp>
        <stp>ImpliedVolatility</stp>
        <stp>TSLA|20220218|1010.00C</stp>
        <tr r="D50" s="1"/>
      </tp>
      <tp>
        <v>0.71630000000000005</v>
        <stp>brendan-laptop-</stp>
        <stp>1</stp>
        <stp>ImpliedVolatility</stp>
        <stp>TSLA|20220318|1010.00P</stp>
        <tr r="H56" s="1"/>
      </tp>
      <tp>
        <v>0.73140000000000005</v>
        <stp>brendan-laptop-</stp>
        <stp>1</stp>
        <stp>ImpliedVolatility</stp>
        <stp>TSLA|20220218|1010.00P</stp>
        <tr r="H50" s="1"/>
      </tp>
      <tp>
        <v>1010</v>
        <stp>brendan-laptop-</stp>
        <stp>*BCOST</stp>
        <stp>TSLA</stp>
        <stp>Equity Options</stp>
        <stp>44582</stp>
        <stp>1009.01</stp>
        <stp>0</stp>
        <tr r="E44" s="1"/>
      </tp>
      <tp>
        <v>0.66890000000000005</v>
        <stp>brendan-laptop-</stp>
        <stp>1</stp>
        <stp>ImpliedVolatility</stp>
        <stp>TSLA|20240119|1000.00C</stp>
        <tr r="D110" s="1"/>
      </tp>
      <tp>
        <v>0.63859999999999995</v>
        <stp>brendan-laptop-</stp>
        <stp>1</stp>
        <stp>ImpliedVolatility</stp>
        <stp>TSLA|20240119|1000.00P</stp>
        <tr r="H110" s="1"/>
      </tp>
      <tp>
        <v>0.70189999999999997</v>
        <stp>brendan-laptop-</stp>
        <stp>1</stp>
        <stp>ImpliedVolatility</stp>
        <stp>TSLA|20220520|1000.00C</stp>
        <tr r="D68" s="1"/>
      </tp>
      <tp>
        <v>0.71870000000000001</v>
        <stp>brendan-laptop-</stp>
        <stp>1</stp>
        <stp>ImpliedVolatility</stp>
        <stp>TSLA|20220121|1010.00C</stp>
        <tr r="D44" s="1"/>
      </tp>
      <tp>
        <v>0.69259999999999999</v>
        <stp>brendan-laptop-</stp>
        <stp>1</stp>
        <stp>ImpliedVolatility</stp>
        <stp>TSLA|20220520|1000.00P</stp>
        <tr r="H68" s="1"/>
      </tp>
      <tp>
        <v>0.71760000000000002</v>
        <stp>brendan-laptop-</stp>
        <stp>1</stp>
        <stp>ImpliedVolatility</stp>
        <stp>TSLA|20220121|1010.00P</stp>
        <tr r="H44" s="1"/>
      </tp>
      <tp>
        <v>0.7167</v>
        <stp>brendan-laptop-</stp>
        <stp>1</stp>
        <stp>ImpliedVolatility</stp>
        <stp>TSLA|20211223|1010.00C</stp>
        <tr r="D20" s="1"/>
      </tp>
      <tp>
        <v>0.66720000000000002</v>
        <stp>brendan-laptop-</stp>
        <stp>1</stp>
        <stp>ImpliedVolatility</stp>
        <stp>TSLA|20230120|1000.00C</stp>
        <tr r="D92" s="1"/>
      </tp>
      <tp>
        <v>0.65010000000000001</v>
        <stp>brendan-laptop-</stp>
        <stp>1</stp>
        <stp>ImpliedVolatility</stp>
        <stp>TSLA|20230120|1000.00P</stp>
        <tr r="H92" s="1"/>
      </tp>
      <tp>
        <v>0.72109999999999996</v>
        <stp>brendan-laptop-</stp>
        <stp>1</stp>
        <stp>ImpliedVolatility</stp>
        <stp>TSLA|20211223|1010.00P</stp>
        <tr r="H20" s="1"/>
      </tp>
      <tp>
        <v>1010</v>
        <stp>brendan-laptop-</stp>
        <stp>*BCOST</stp>
        <stp>TSLA</stp>
        <stp>Equity Options</stp>
        <stp>44561</stp>
        <stp>1009.01</stp>
        <stp>0</stp>
        <tr r="E26" s="1"/>
      </tp>
      <tp>
        <v>1000</v>
        <stp>brendan-laptop-</stp>
        <stp>*BCOST</stp>
        <stp>TSLA</stp>
        <stp>Equity Options</stp>
        <stp>44701</stp>
        <stp>1009.01</stp>
        <stp>0</stp>
        <tr r="E68" s="1"/>
      </tp>
      <tp>
        <v>0.70760000000000001</v>
        <stp>brendan-laptop-</stp>
        <stp>1</stp>
        <stp>ImpliedVolatility</stp>
        <stp>TSLA|20211231|1010.00C</stp>
        <tr r="D26" s="1"/>
      </tp>
      <tp>
        <v>0.70669999999999999</v>
        <stp>brendan-laptop-</stp>
        <stp>1</stp>
        <stp>ImpliedVolatility</stp>
        <stp>TSLA|20211231|1010.00P</stp>
        <tr r="H26" s="1"/>
      </tp>
      <tp>
        <v>1000</v>
        <stp>brendan-laptop-</stp>
        <stp>*BCOST</stp>
        <stp>TSLA</stp>
        <stp>Equity Options</stp>
        <stp>45310</stp>
        <stp>1009.01</stp>
        <stp>0</stp>
        <tr r="E110" s="1"/>
      </tp>
      <tp>
        <v>1000</v>
        <stp>brendan-laptop-</stp>
        <stp>*BCOST</stp>
        <stp>TSLA</stp>
        <stp>Equity Options</stp>
        <stp>44820</stp>
        <stp>1009.01</stp>
        <stp>0</stp>
        <tr r="E86" s="1"/>
      </tp>
      <tp>
        <v>1010</v>
        <stp>brendan-laptop-</stp>
        <stp>*BCOST</stp>
        <stp>TSLA</stp>
        <stp>Equity Options</stp>
        <stp>44540</stp>
        <stp>1009.01</stp>
        <stp>0</stp>
        <tr r="E8" s="1"/>
      </tp>
      <tp>
        <v>1010</v>
        <stp>brendan-laptop-</stp>
        <stp>*BCOST</stp>
        <stp>TSLA</stp>
        <stp>Equity Options</stp>
        <stp>44610</stp>
        <stp>1009.01</stp>
        <stp>0</stp>
        <tr r="E50" s="1"/>
      </tp>
      <tp>
        <v>1010</v>
        <stp>brendan-laptop-</stp>
        <stp>*BCOST</stp>
        <stp>TSLA</stp>
        <stp>Equity Options</stp>
        <stp>44547</stp>
        <stp>1009.01</stp>
        <stp>0</stp>
        <tr r="E14" s="1"/>
      </tp>
      <tp>
        <v>1000</v>
        <stp>brendan-laptop-</stp>
        <stp>*BCOST</stp>
        <stp>TSLA</stp>
        <stp>Equity Options</stp>
        <stp>44757</stp>
        <stp>1009.01</stp>
        <stp>0</stp>
        <tr r="E80" s="1"/>
      </tp>
      <tp>
        <v>1000</v>
        <stp>brendan-laptop-</stp>
        <stp>*BCOST</stp>
        <stp>TSLA</stp>
        <stp>Equity Options</stp>
        <stp>44946</stp>
        <stp>1009.01</stp>
        <stp>0</stp>
        <tr r="E92" s="1"/>
      </tp>
      <tp>
        <v>1010</v>
        <stp>brendan-laptop-</stp>
        <stp>*BCOST</stp>
        <stp>TSLA</stp>
        <stp>Equity Options</stp>
        <stp>44575</stp>
        <stp>1009.01</stp>
        <stp>0</stp>
        <tr r="E38" s="1"/>
      </tp>
      <tp>
        <v>1000</v>
        <stp>brendan-laptop-</stp>
        <stp>*BCOST</stp>
        <stp>TSLA</stp>
        <stp>Equity Options</stp>
        <stp>44665</stp>
        <stp>1009.01</stp>
        <stp>0</stp>
        <tr r="E62" s="1"/>
      </tp>
      <tp>
        <v>1000</v>
        <stp>brendan-laptop-</stp>
        <stp>*BCOST</stp>
        <stp>TSLA</stp>
        <stp>Equity Options</stp>
        <stp>44729</stp>
        <stp>1009.01</stp>
        <stp>0</stp>
        <tr r="E74" s="1"/>
      </tp>
      <tp>
        <v>1010</v>
        <stp>brendan-laptop-</stp>
        <stp>*BCOST</stp>
        <stp>TSLA</stp>
        <stp>Equity Options</stp>
        <stp>44568</stp>
        <stp>1009.01</stp>
        <stp>0</stp>
        <tr r="E32" s="1"/>
      </tp>
      <tp>
        <v>1010</v>
        <stp>brendan-laptop-</stp>
        <stp>*BCOST</stp>
        <stp>TSLA</stp>
        <stp>Equity Options</stp>
        <stp>44638</stp>
        <stp>1009.01</stp>
        <stp>0</stp>
        <tr r="E56" s="1"/>
      </tp>
      <tp>
        <v>1009.01</v>
        <stp>brendan-laptop-</stp>
        <stp>1</stp>
        <stp>Last</stp>
        <stp>TSLA</stp>
        <tr r="F41" s="1"/>
        <tr r="F107" s="1"/>
        <tr r="F83" s="1"/>
        <tr r="F53" s="1"/>
        <tr r="F59" s="1"/>
        <tr r="F23" s="1"/>
        <tr r="F17" s="1"/>
        <tr r="F65" s="1"/>
        <tr r="F29" s="1"/>
        <tr r="F5" s="1"/>
        <tr r="F95" s="1"/>
        <tr r="F89" s="1"/>
        <tr r="F101" s="1"/>
        <tr r="F11" s="1"/>
        <tr r="F35" s="1"/>
        <tr r="F47" s="1"/>
        <tr r="F77" s="1"/>
        <tr r="F71" s="1"/>
      </tp>
      <tp t="s">
        <v>TSLA|20220916|1000.00P</v>
        <stp>brendan-laptop-</stp>
        <stp>*BCOSY</stp>
        <stp>TSLA</stp>
        <stp>Equity Options</stp>
        <stp>44820</stp>
        <stp>1000</stp>
        <stp>P</stp>
        <tr r="F86" s="1"/>
      </tp>
      <tp t="s">
        <v>TSLA|20220916|1000.00C</v>
        <stp>brendan-laptop-</stp>
        <stp>*BCOSY</stp>
        <stp>TSLA</stp>
        <stp>Equity Options</stp>
        <stp>44820</stp>
        <stp>1000</stp>
        <stp>C</stp>
        <tr r="B86" s="1"/>
      </tp>
      <tp t="s">
        <v>TSLA|20230120|1000.00P</v>
        <stp>brendan-laptop-</stp>
        <stp>*BCOSY</stp>
        <stp>TSLA</stp>
        <stp>Equity Options</stp>
        <stp>44946</stp>
        <stp>1000</stp>
        <stp>P</stp>
        <tr r="F92" s="1"/>
      </tp>
      <tp t="s">
        <v>TSLA|20230120|1000.00C</v>
        <stp>brendan-laptop-</stp>
        <stp>*BCOSY</stp>
        <stp>TSLA</stp>
        <stp>Equity Options</stp>
        <stp>44946</stp>
        <stp>1000</stp>
        <stp>C</stp>
        <tr r="B92" s="1"/>
      </tp>
      <tp t="s">
        <v>TSLA|20220414|1000.00P</v>
        <stp>brendan-laptop-</stp>
        <stp>*BCOSY</stp>
        <stp>TSLA</stp>
        <stp>Equity Options</stp>
        <stp>44665</stp>
        <stp>1000</stp>
        <stp>P</stp>
        <tr r="F62" s="1"/>
      </tp>
      <tp t="s">
        <v>TSLA|20220318|1010.00P</v>
        <stp>brendan-laptop-</stp>
        <stp>*BCOSY</stp>
        <stp>TSLA</stp>
        <stp>Equity Options</stp>
        <stp>44638</stp>
        <stp>1010</stp>
        <stp>P</stp>
        <tr r="F56" s="1"/>
      </tp>
      <tp t="s">
        <v>TSLA|20220218|1010.00P</v>
        <stp>brendan-laptop-</stp>
        <stp>*BCOSY</stp>
        <stp>TSLA</stp>
        <stp>Equity Options</stp>
        <stp>44610</stp>
        <stp>1010</stp>
        <stp>P</stp>
        <tr r="F50" s="1"/>
      </tp>
      <tp t="s">
        <v>TSLA|20220414|1000.00C</v>
        <stp>brendan-laptop-</stp>
        <stp>*BCOSY</stp>
        <stp>TSLA</stp>
        <stp>Equity Options</stp>
        <stp>44665</stp>
        <stp>1000</stp>
        <stp>C</stp>
        <tr r="B62" s="1"/>
      </tp>
      <tp t="s">
        <v>TSLA|20220218|1010.00C</v>
        <stp>brendan-laptop-</stp>
        <stp>*BCOSY</stp>
        <stp>TSLA</stp>
        <stp>Equity Options</stp>
        <stp>44610</stp>
        <stp>1010</stp>
        <stp>C</stp>
        <tr r="B50" s="1"/>
      </tp>
      <tp t="s">
        <v>TSLA|20220318|1010.00C</v>
        <stp>brendan-laptop-</stp>
        <stp>*BCOSY</stp>
        <stp>TSLA</stp>
        <stp>Equity Options</stp>
        <stp>44638</stp>
        <stp>1010</stp>
        <stp>C</stp>
        <tr r="B56" s="1"/>
      </tp>
      <tp t="s">
        <v>TSLA|20220715|1000.00P</v>
        <stp>brendan-laptop-</stp>
        <stp>*BCOSY</stp>
        <stp>TSLA</stp>
        <stp>Equity Options</stp>
        <stp>44757</stp>
        <stp>1000</stp>
        <stp>P</stp>
        <tr r="F80" s="1"/>
      </tp>
      <tp t="s">
        <v>TSLA|20220617|1000.00P</v>
        <stp>brendan-laptop-</stp>
        <stp>*BCOSY</stp>
        <stp>TSLA</stp>
        <stp>Equity Options</stp>
        <stp>44729</stp>
        <stp>1000</stp>
        <stp>P</stp>
        <tr r="F74" s="1"/>
      </tp>
      <tp t="s">
        <v>TSLA|20220520|1000.00P</v>
        <stp>brendan-laptop-</stp>
        <stp>*BCOSY</stp>
        <stp>TSLA</stp>
        <stp>Equity Options</stp>
        <stp>44701</stp>
        <stp>1000</stp>
        <stp>P</stp>
        <tr r="F68" s="1"/>
      </tp>
      <tp t="s">
        <v>TSLA|20220715|1000.00C</v>
        <stp>brendan-laptop-</stp>
        <stp>*BCOSY</stp>
        <stp>TSLA</stp>
        <stp>Equity Options</stp>
        <stp>44757</stp>
        <stp>1000</stp>
        <stp>C</stp>
        <tr r="B80" s="1"/>
      </tp>
      <tp t="s">
        <v>TSLA|20220520|1000.00C</v>
        <stp>brendan-laptop-</stp>
        <stp>*BCOSY</stp>
        <stp>TSLA</stp>
        <stp>Equity Options</stp>
        <stp>44701</stp>
        <stp>1000</stp>
        <stp>C</stp>
        <tr r="B68" s="1"/>
      </tp>
      <tp t="s">
        <v>TSLA|20220617|1000.00C</v>
        <stp>brendan-laptop-</stp>
        <stp>*BCOSY</stp>
        <stp>TSLA</stp>
        <stp>Equity Options</stp>
        <stp>44729</stp>
        <stp>1000</stp>
        <stp>C</stp>
        <tr r="B74" s="1"/>
      </tp>
      <tp t="s">
        <v>TSLA|20211231|1010.00P</v>
        <stp>brendan-laptop-</stp>
        <stp>*BCOSY</stp>
        <stp>TSLA</stp>
        <stp>Equity Options</stp>
        <stp>44561</stp>
        <stp>1010</stp>
        <stp>P</stp>
        <tr r="F26" s="1"/>
      </tp>
      <tp t="s">
        <v>TSLA|20220107|1010.00P</v>
        <stp>brendan-laptop-</stp>
        <stp>*BCOSY</stp>
        <stp>TSLA</stp>
        <stp>Equity Options</stp>
        <stp>44568</stp>
        <stp>1010</stp>
        <stp>P</stp>
        <tr r="F32" s="1"/>
      </tp>
      <tp t="s">
        <v>TSLA|20220114|1010.00P</v>
        <stp>brendan-laptop-</stp>
        <stp>*BCOSY</stp>
        <stp>TSLA</stp>
        <stp>Equity Options</stp>
        <stp>44575</stp>
        <stp>1010</stp>
        <stp>P</stp>
        <tr r="F38" s="1"/>
      </tp>
      <tp t="s">
        <v>TSLA|20211210|1010.00P</v>
        <stp>brendan-laptop-</stp>
        <stp>*BCOSY</stp>
        <stp>TSLA</stp>
        <stp>Equity Options</stp>
        <stp>44540</stp>
        <stp>1010</stp>
        <stp>P</stp>
        <tr r="F8" s="1"/>
      </tp>
      <tp t="s">
        <v>TSLA|20211217|1010.00P</v>
        <stp>brendan-laptop-</stp>
        <stp>*BCOSY</stp>
        <stp>TSLA</stp>
        <stp>Equity Options</stp>
        <stp>44547</stp>
        <stp>1010</stp>
        <stp>P</stp>
        <tr r="F14" s="1"/>
      </tp>
      <tp t="s">
        <v>TSLA|20211223|1010.00P</v>
        <stp>brendan-laptop-</stp>
        <stp>*BCOSY</stp>
        <stp>TSLA</stp>
        <stp>Equity Options</stp>
        <stp>44553</stp>
        <stp>1010</stp>
        <stp>P</stp>
        <tr r="F20" s="1"/>
      </tp>
      <tp t="s">
        <v>TSLA|20220121|1010.00P</v>
        <stp>brendan-laptop-</stp>
        <stp>*BCOSY</stp>
        <stp>TSLA</stp>
        <stp>Equity Options</stp>
        <stp>44582</stp>
        <stp>1010</stp>
        <stp>P</stp>
        <tr r="F44" s="1"/>
      </tp>
      <tp t="s">
        <v>TSLA|20211223|1010.00C</v>
        <stp>brendan-laptop-</stp>
        <stp>*BCOSY</stp>
        <stp>TSLA</stp>
        <stp>Equity Options</stp>
        <stp>44553</stp>
        <stp>1010</stp>
        <stp>C</stp>
        <tr r="B20" s="1"/>
      </tp>
      <tp t="s">
        <v>TSLA|20211210|1010.00C</v>
        <stp>brendan-laptop-</stp>
        <stp>*BCOSY</stp>
        <stp>TSLA</stp>
        <stp>Equity Options</stp>
        <stp>44540</stp>
        <stp>1010</stp>
        <stp>C</stp>
        <tr r="B8" s="1"/>
      </tp>
      <tp t="s">
        <v>TSLA|20211217|1010.00C</v>
        <stp>brendan-laptop-</stp>
        <stp>*BCOSY</stp>
        <stp>TSLA</stp>
        <stp>Equity Options</stp>
        <stp>44547</stp>
        <stp>1010</stp>
        <stp>C</stp>
        <tr r="B14" s="1"/>
      </tp>
      <tp t="s">
        <v>TSLA|20220114|1010.00C</v>
        <stp>brendan-laptop-</stp>
        <stp>*BCOSY</stp>
        <stp>TSLA</stp>
        <stp>Equity Options</stp>
        <stp>44575</stp>
        <stp>1010</stp>
        <stp>C</stp>
        <tr r="B38" s="1"/>
      </tp>
      <tp t="s">
        <v>TSLA|20211231|1010.00C</v>
        <stp>brendan-laptop-</stp>
        <stp>*BCOSY</stp>
        <stp>TSLA</stp>
        <stp>Equity Options</stp>
        <stp>44561</stp>
        <stp>1010</stp>
        <stp>C</stp>
        <tr r="B26" s="1"/>
      </tp>
      <tp t="s">
        <v>TSLA|20220107|1010.00C</v>
        <stp>brendan-laptop-</stp>
        <stp>*BCOSY</stp>
        <stp>TSLA</stp>
        <stp>Equity Options</stp>
        <stp>44568</stp>
        <stp>1010</stp>
        <stp>C</stp>
        <tr r="B32" s="1"/>
      </tp>
      <tp t="s">
        <v>TSLA|20220121|1010.00C</v>
        <stp>brendan-laptop-</stp>
        <stp>*BCOSY</stp>
        <stp>TSLA</stp>
        <stp>Equity Options</stp>
        <stp>44582</stp>
        <stp>1010</stp>
        <stp>C</stp>
        <tr r="B44" s="1"/>
      </tp>
      <tp t="s">
        <v>TSLA|20240119|1000.00P</v>
        <stp>brendan-laptop-</stp>
        <stp>*BCOSY</stp>
        <stp>TSLA</stp>
        <stp>Equity Options</stp>
        <stp>45310</stp>
        <stp>1000</stp>
        <stp>P</stp>
        <tr r="F110" s="1"/>
      </tp>
      <tp t="s">
        <v>TSLA|20240119|1000.00C</v>
        <stp>brendan-laptop-</stp>
        <stp>*BCOSY</stp>
        <stp>TSLA</stp>
        <stp>Equity Options</stp>
        <stp>45310</stp>
        <stp>1000</stp>
        <stp>C</stp>
        <tr r="B110" s="1"/>
      </tp>
      <tp t="s">
        <v>TSLA|20230317|1000.00P</v>
        <stp>brendan-laptop-</stp>
        <stp>*BCOSY</stp>
        <stp>TSLA</stp>
        <stp>Equity Options</stp>
        <stp>45002</stp>
        <stp>1000</stp>
        <stp>P</stp>
        <tr r="F98" s="1"/>
      </tp>
      <tp t="s">
        <v>TSLA|20230616|1000.00P</v>
        <stp>brendan-laptop-</stp>
        <stp>*BCOSY</stp>
        <stp>TSLA</stp>
        <stp>Equity Options</stp>
        <stp>45093</stp>
        <stp>1000</stp>
        <stp>P</stp>
        <tr r="F104" s="1"/>
      </tp>
      <tp t="s">
        <v>TSLA|20230317|1000.00C</v>
        <stp>brendan-laptop-</stp>
        <stp>*BCOSY</stp>
        <stp>TSLA</stp>
        <stp>Equity Options</stp>
        <stp>45002</stp>
        <stp>1000</stp>
        <stp>C</stp>
        <tr r="B98" s="1"/>
      </tp>
      <tp t="s">
        <v>TSLA|20230616|1000.00C</v>
        <stp>brendan-laptop-</stp>
        <stp>*BCOSY</stp>
        <stp>TSLA</stp>
        <stp>Equity Options</stp>
        <stp>45093</stp>
        <stp>1000</stp>
        <stp>C</stp>
        <tr r="B10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'Term Structure'!$Q$4</c:f>
          <c:strCache>
            <c:ptCount val="1"/>
            <c:pt idx="0">
              <c:v>TSLA - Term Structure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IV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[0]!Dates</c:f>
              <c:numCache>
                <c:formatCode>m/d/yyyy</c:formatCode>
                <c:ptCount val="18"/>
                <c:pt idx="0">
                  <c:v>44540</c:v>
                </c:pt>
                <c:pt idx="1">
                  <c:v>44547</c:v>
                </c:pt>
                <c:pt idx="2">
                  <c:v>44553</c:v>
                </c:pt>
                <c:pt idx="3">
                  <c:v>44561</c:v>
                </c:pt>
                <c:pt idx="4">
                  <c:v>44568</c:v>
                </c:pt>
                <c:pt idx="5">
                  <c:v>44575</c:v>
                </c:pt>
                <c:pt idx="6">
                  <c:v>44582</c:v>
                </c:pt>
                <c:pt idx="7">
                  <c:v>44610</c:v>
                </c:pt>
                <c:pt idx="8">
                  <c:v>44638</c:v>
                </c:pt>
                <c:pt idx="9">
                  <c:v>44665</c:v>
                </c:pt>
                <c:pt idx="10">
                  <c:v>44701</c:v>
                </c:pt>
                <c:pt idx="11">
                  <c:v>44729</c:v>
                </c:pt>
                <c:pt idx="12">
                  <c:v>44757</c:v>
                </c:pt>
                <c:pt idx="13">
                  <c:v>44820</c:v>
                </c:pt>
                <c:pt idx="14">
                  <c:v>44946</c:v>
                </c:pt>
                <c:pt idx="15">
                  <c:v>45002</c:v>
                </c:pt>
                <c:pt idx="16">
                  <c:v>45093</c:v>
                </c:pt>
                <c:pt idx="17">
                  <c:v>45310</c:v>
                </c:pt>
              </c:numCache>
            </c:numRef>
          </c:cat>
          <c:val>
            <c:numRef>
              <c:f>[0]!Avg</c:f>
              <c:numCache>
                <c:formatCode>0.00%</c:formatCode>
                <c:ptCount val="18"/>
                <c:pt idx="0">
                  <c:v>0.73875000000000002</c:v>
                </c:pt>
                <c:pt idx="1">
                  <c:v>0.73714999999999997</c:v>
                </c:pt>
                <c:pt idx="2">
                  <c:v>0.71889999999999998</c:v>
                </c:pt>
                <c:pt idx="3">
                  <c:v>0.70714999999999995</c:v>
                </c:pt>
                <c:pt idx="4">
                  <c:v>0.72070000000000001</c:v>
                </c:pt>
                <c:pt idx="5">
                  <c:v>0.72465000000000002</c:v>
                </c:pt>
                <c:pt idx="6">
                  <c:v>0.71815000000000007</c:v>
                </c:pt>
                <c:pt idx="7">
                  <c:v>0.73419999999999996</c:v>
                </c:pt>
                <c:pt idx="8">
                  <c:v>0.71625000000000005</c:v>
                </c:pt>
                <c:pt idx="9">
                  <c:v>0.70310000000000006</c:v>
                </c:pt>
                <c:pt idx="10">
                  <c:v>0.69724999999999993</c:v>
                </c:pt>
                <c:pt idx="11">
                  <c:v>0.68595000000000006</c:v>
                </c:pt>
                <c:pt idx="12">
                  <c:v>0.69584999999999997</c:v>
                </c:pt>
                <c:pt idx="13">
                  <c:v>0.66874999999999996</c:v>
                </c:pt>
                <c:pt idx="14">
                  <c:v>0.65864999999999996</c:v>
                </c:pt>
                <c:pt idx="15">
                  <c:v>0.66225000000000001</c:v>
                </c:pt>
                <c:pt idx="16">
                  <c:v>0.65454999999999997</c:v>
                </c:pt>
                <c:pt idx="17">
                  <c:v>0.65375000000000005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2-41AC-8A15-9B307C2A1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798479"/>
        <c:axId val="1499799727"/>
      </c:lineChart>
      <c:lineChart>
        <c:grouping val="standard"/>
        <c:varyColors val="0"/>
        <c:ser>
          <c:idx val="1"/>
          <c:order val="1"/>
          <c:tx>
            <c:v>Current Straddle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[0]!Dates</c:f>
              <c:numCache>
                <c:formatCode>m/d/yyyy</c:formatCode>
                <c:ptCount val="18"/>
                <c:pt idx="0">
                  <c:v>44540</c:v>
                </c:pt>
                <c:pt idx="1">
                  <c:v>44547</c:v>
                </c:pt>
                <c:pt idx="2">
                  <c:v>44553</c:v>
                </c:pt>
                <c:pt idx="3">
                  <c:v>44561</c:v>
                </c:pt>
                <c:pt idx="4">
                  <c:v>44568</c:v>
                </c:pt>
                <c:pt idx="5">
                  <c:v>44575</c:v>
                </c:pt>
                <c:pt idx="6">
                  <c:v>44582</c:v>
                </c:pt>
                <c:pt idx="7">
                  <c:v>44610</c:v>
                </c:pt>
                <c:pt idx="8">
                  <c:v>44638</c:v>
                </c:pt>
                <c:pt idx="9">
                  <c:v>44665</c:v>
                </c:pt>
                <c:pt idx="10">
                  <c:v>44701</c:v>
                </c:pt>
                <c:pt idx="11">
                  <c:v>44729</c:v>
                </c:pt>
                <c:pt idx="12">
                  <c:v>44757</c:v>
                </c:pt>
                <c:pt idx="13">
                  <c:v>44820</c:v>
                </c:pt>
                <c:pt idx="14">
                  <c:v>44946</c:v>
                </c:pt>
                <c:pt idx="15">
                  <c:v>45002</c:v>
                </c:pt>
                <c:pt idx="16">
                  <c:v>45093</c:v>
                </c:pt>
                <c:pt idx="17">
                  <c:v>45310</c:v>
                </c:pt>
              </c:numCache>
            </c:numRef>
          </c:cat>
          <c:val>
            <c:numRef>
              <c:f>[0]!Straddle</c:f>
              <c:numCache>
                <c:formatCode>_("$"* #,##0.00_);_("$"* \(#,##0.00\);_("$"* "-"??_);_(@_)</c:formatCode>
                <c:ptCount val="18"/>
                <c:pt idx="0">
                  <c:v>62.28</c:v>
                </c:pt>
                <c:pt idx="1">
                  <c:v>103</c:v>
                </c:pt>
                <c:pt idx="2">
                  <c:v>124.84</c:v>
                </c:pt>
                <c:pt idx="3">
                  <c:v>147.30000000000001</c:v>
                </c:pt>
                <c:pt idx="4">
                  <c:v>171.55</c:v>
                </c:pt>
                <c:pt idx="5">
                  <c:v>190.32999999999998</c:v>
                </c:pt>
                <c:pt idx="6">
                  <c:v>204.78</c:v>
                </c:pt>
                <c:pt idx="7">
                  <c:v>266.62</c:v>
                </c:pt>
                <c:pt idx="8">
                  <c:v>301.64999999999998</c:v>
                </c:pt>
                <c:pt idx="9">
                  <c:v>331.35</c:v>
                </c:pt>
                <c:pt idx="10">
                  <c:v>370.42</c:v>
                </c:pt>
                <c:pt idx="11">
                  <c:v>394.65</c:v>
                </c:pt>
                <c:pt idx="12">
                  <c:v>427.73</c:v>
                </c:pt>
                <c:pt idx="13">
                  <c:v>454.8</c:v>
                </c:pt>
                <c:pt idx="14">
                  <c:v>547.79999999999995</c:v>
                </c:pt>
                <c:pt idx="15">
                  <c:v>584.78</c:v>
                </c:pt>
                <c:pt idx="16">
                  <c:v>640.67999999999995</c:v>
                </c:pt>
                <c:pt idx="17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2-41AC-8A15-9B307C2A1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21103"/>
        <c:axId val="528320687"/>
      </c:lineChart>
      <c:catAx>
        <c:axId val="1499798479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9727"/>
        <c:crosses val="autoZero"/>
        <c:auto val="0"/>
        <c:lblAlgn val="ctr"/>
        <c:lblOffset val="100"/>
        <c:noMultiLvlLbl val="0"/>
      </c:catAx>
      <c:valAx>
        <c:axId val="149979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accent1"/>
                    </a:solidFill>
                  </a:rPr>
                  <a:t>IV</a:t>
                </a:r>
                <a:endParaRPr lang="en-US" sz="1050" b="1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8479"/>
        <c:crosses val="autoZero"/>
        <c:crossBetween val="between"/>
      </c:valAx>
      <c:valAx>
        <c:axId val="52832068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accent2"/>
                    </a:solidFill>
                  </a:rPr>
                  <a:t>$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21103"/>
        <c:crosses val="max"/>
        <c:crossBetween val="between"/>
      </c:valAx>
      <c:dateAx>
        <c:axId val="52832110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832068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solidFill>
          <a:srgbClr val="E7E6E6">
            <a:lumMod val="25000"/>
          </a:srgb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7E6E6">
        <a:lumMod val="25000"/>
      </a:srgbClr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6</xdr:row>
      <xdr:rowOff>25400</xdr:rowOff>
    </xdr:from>
    <xdr:to>
      <xdr:col>31</xdr:col>
      <xdr:colOff>601134</xdr:colOff>
      <xdr:row>39</xdr:row>
      <xdr:rowOff>42335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5AF103-0CAD-4DD8-8E65-CB63700E5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16933</xdr:colOff>
      <xdr:row>0</xdr:row>
      <xdr:rowOff>457200</xdr:rowOff>
    </xdr:from>
    <xdr:to>
      <xdr:col>3</xdr:col>
      <xdr:colOff>817033</xdr:colOff>
      <xdr:row>0</xdr:row>
      <xdr:rowOff>1192736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9E6E8C26-18FA-4039-8349-8709349DC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6533" y="457200"/>
          <a:ext cx="3390900" cy="735536"/>
        </a:xfrm>
        <a:prstGeom prst="rect">
          <a:avLst/>
        </a:prstGeom>
      </xdr:spPr>
    </xdr:pic>
    <xdr:clientData/>
  </xdr:twoCellAnchor>
  <xdr:twoCellAnchor editAs="oneCell">
    <xdr:from>
      <xdr:col>1</xdr:col>
      <xdr:colOff>1029547</xdr:colOff>
      <xdr:row>1</xdr:row>
      <xdr:rowOff>313266</xdr:rowOff>
    </xdr:from>
    <xdr:to>
      <xdr:col>1</xdr:col>
      <xdr:colOff>1477433</xdr:colOff>
      <xdr:row>2</xdr:row>
      <xdr:rowOff>218228</xdr:rowOff>
    </xdr:to>
    <xdr:pic>
      <xdr:nvPicPr>
        <xdr:cNvPr id="6" name="Graphic 5" descr="Arrow Down with solid fill">
          <a:extLst>
            <a:ext uri="{FF2B5EF4-FFF2-40B4-BE49-F238E27FC236}">
              <a16:creationId xmlns:a16="http://schemas.microsoft.com/office/drawing/2014/main" id="{ED75D408-1F7D-4E7B-AD9C-ACB609ED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83547" y="1777999"/>
          <a:ext cx="447886" cy="36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ACF2-ECE8-4786-A731-BEE9ABB1C7DD}">
  <dimension ref="A1:AL206"/>
  <sheetViews>
    <sheetView tabSelected="1" zoomScale="50" zoomScaleNormal="50" workbookViewId="0">
      <selection activeCell="A3" sqref="A3"/>
    </sheetView>
  </sheetViews>
  <sheetFormatPr defaultRowHeight="15" x14ac:dyDescent="0.25"/>
  <cols>
    <col min="1" max="1" width="3.7109375" customWidth="1"/>
    <col min="2" max="2" width="23.85546875" customWidth="1"/>
    <col min="3" max="3" width="13.7109375" bestFit="1" customWidth="1"/>
    <col min="4" max="4" width="15.42578125" bestFit="1" customWidth="1"/>
    <col min="5" max="5" width="11.28515625" customWidth="1"/>
    <col min="6" max="6" width="23.85546875" bestFit="1" customWidth="1"/>
    <col min="7" max="7" width="12.5703125" bestFit="1" customWidth="1"/>
    <col min="8" max="8" width="15.42578125" bestFit="1" customWidth="1"/>
    <col min="10" max="11" width="17.7109375" customWidth="1"/>
    <col min="12" max="12" width="19.140625" style="13" customWidth="1"/>
    <col min="13" max="13" width="7.7109375" style="10" bestFit="1" customWidth="1"/>
    <col min="14" max="14" width="8.28515625" style="13" bestFit="1" customWidth="1"/>
    <col min="17" max="17" width="6.28515625" customWidth="1"/>
  </cols>
  <sheetData>
    <row r="1" spans="1:38" ht="115.15" customHeight="1" x14ac:dyDescent="0.25">
      <c r="A1" s="25"/>
      <c r="B1" s="25"/>
      <c r="C1" s="25"/>
      <c r="D1" s="25"/>
      <c r="E1" s="25"/>
      <c r="F1" s="19"/>
      <c r="G1" s="20"/>
      <c r="H1" s="20"/>
      <c r="I1" s="20"/>
      <c r="J1" s="20"/>
      <c r="K1" s="20"/>
      <c r="L1" s="21"/>
      <c r="M1" s="22"/>
      <c r="N1" s="21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38" ht="36" customHeight="1" x14ac:dyDescent="0.25">
      <c r="A2" s="26" t="s">
        <v>14</v>
      </c>
      <c r="B2" s="26"/>
      <c r="C2" s="26"/>
      <c r="D2" s="26"/>
      <c r="E2" s="26"/>
      <c r="F2" s="17"/>
      <c r="U2" s="11"/>
      <c r="V2" s="11"/>
    </row>
    <row r="3" spans="1:38" ht="33.6" customHeight="1" x14ac:dyDescent="0.25">
      <c r="B3" t="str">
        <f>_xll.barchart.udfs.BEEO(B5:D5,C7:D7,"Strikes=1","Dynamic=True","HighlightStrikes=True","AvailableNumberOfStrikes=1","NumberOfExpirations=18","Symbol=TSLA","Display=SideBySide")</f>
        <v>Equity Options</v>
      </c>
    </row>
    <row r="4" spans="1:38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Q4" s="12" t="str">
        <f>B5&amp;" - Term Structure"</f>
        <v>TSLA - Term Structure</v>
      </c>
    </row>
    <row r="5" spans="1:38" x14ac:dyDescent="0.25">
      <c r="B5" t="str">
        <f>_xll.barchart.udfs.BEOE("TSLA","AvailableNumberOfStrikes=1")</f>
        <v>TSLA</v>
      </c>
      <c r="C5" t="s">
        <v>6</v>
      </c>
      <c r="D5" s="1">
        <v>44540</v>
      </c>
      <c r="E5">
        <v>4</v>
      </c>
      <c r="F5">
        <f>_xll.BERTD(B$5,F$4)</f>
        <v>1009.01</v>
      </c>
      <c r="G5" s="3">
        <f>_xll.BERTD(B$5,G$4)</f>
        <v>44536.776145833333</v>
      </c>
    </row>
    <row r="6" spans="1:38" x14ac:dyDescent="0.25">
      <c r="B6" s="24" t="s">
        <v>7</v>
      </c>
      <c r="C6" s="24"/>
      <c r="D6" s="24"/>
      <c r="F6" s="24" t="s">
        <v>8</v>
      </c>
      <c r="G6" s="24"/>
      <c r="H6" s="24"/>
    </row>
    <row r="7" spans="1:38" ht="16.5" thickBot="1" x14ac:dyDescent="0.3">
      <c r="B7" t="s">
        <v>0</v>
      </c>
      <c r="C7" t="s">
        <v>4</v>
      </c>
      <c r="D7" t="s">
        <v>9</v>
      </c>
      <c r="E7" t="s">
        <v>10</v>
      </c>
      <c r="F7" t="s">
        <v>0</v>
      </c>
      <c r="G7" t="s">
        <v>4</v>
      </c>
      <c r="H7" t="s">
        <v>9</v>
      </c>
      <c r="J7" s="18" t="s">
        <v>11</v>
      </c>
      <c r="K7" s="18" t="s">
        <v>12</v>
      </c>
      <c r="L7" s="18" t="s">
        <v>13</v>
      </c>
      <c r="AL7" s="23">
        <v>1</v>
      </c>
    </row>
    <row r="8" spans="1:38" x14ac:dyDescent="0.25">
      <c r="B8" t="str">
        <f>_xll.barchart.udfs.BEOSY(B$5,C$5,D$5,$E8,"C")</f>
        <v>TSLA|20211210|1010.00C</v>
      </c>
      <c r="C8" s="2">
        <f>_xll.BERTD($B8,C$7)</f>
        <v>30.55</v>
      </c>
      <c r="D8" s="4">
        <f>_xll.BERTD($B8,D$7)</f>
        <v>0.73640000000000005</v>
      </c>
      <c r="E8" s="5">
        <f>_xll.barchart.udfs.BEOST(B$5,C$5,D$5,F$5,0)</f>
        <v>1010</v>
      </c>
      <c r="F8" t="str">
        <f>_xll.barchart.udfs.BEOSY(B$5,C$5,D$5,$E8,"P")</f>
        <v>TSLA|20211210|1010.00P</v>
      </c>
      <c r="G8" s="2">
        <f>_xll.BERTD($F8,G$7)</f>
        <v>31.73</v>
      </c>
      <c r="H8" s="4">
        <f>_xll.BERTD($F8,H$7)</f>
        <v>0.74109999999999998</v>
      </c>
      <c r="J8" s="7">
        <f>IF($D$5&lt;&gt;"",$D$5,"")</f>
        <v>44540</v>
      </c>
      <c r="K8" s="8">
        <f>IF(AND($H$8&lt;&gt;0,$D$8&lt;&gt;0),AVERAGE($D$8,$H$8),"")</f>
        <v>0.73875000000000002</v>
      </c>
      <c r="L8" s="14">
        <f>IF(OR($C$8&lt;&gt;0,$G$8&lt;&gt;0),SUM($C$8,$G$8),"")</f>
        <v>62.28</v>
      </c>
      <c r="M8" s="6">
        <f>IF(AND($H$8&lt;&gt;0,$D$8&lt;&gt;0),AVERAGE($D$8,$H$8),NA())</f>
        <v>0.73875000000000002</v>
      </c>
      <c r="N8" s="15">
        <f>IF(OR($C$8&lt;&gt;0,$G$8&lt;&gt;0),SUM($C$8,$G$8),NA())</f>
        <v>62.28</v>
      </c>
    </row>
    <row r="9" spans="1:38" x14ac:dyDescent="0.25">
      <c r="J9" s="7">
        <f>IF($D$11,$D$11,"")</f>
        <v>44547</v>
      </c>
      <c r="K9" s="8">
        <f>IF(AND($H$14&lt;&gt;0,$D$14&lt;&gt;0),AVERAGE($D$14,$H$14),"")</f>
        <v>0.73714999999999997</v>
      </c>
      <c r="L9" s="14">
        <f>IF(OR($C$14&lt;&gt;0,$G$14&lt;&gt;0),SUM($C$14,$G$14),"")</f>
        <v>103</v>
      </c>
      <c r="M9" s="6">
        <f>IF(AND($H$14&lt;&gt;0,$D$14&lt;&gt;0),AVERAGE($D$14,$H$14),NA())</f>
        <v>0.73714999999999997</v>
      </c>
      <c r="N9" s="15">
        <f>IF(OR($C$14&lt;&gt;0,$G$14&lt;&gt;0),SUM($C$14,$G$14),NA())</f>
        <v>103</v>
      </c>
    </row>
    <row r="10" spans="1:38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J10" s="7">
        <f>IF($D$17,$D$17,"")</f>
        <v>44553</v>
      </c>
      <c r="K10" s="8">
        <f>IF(AND($H$20&lt;&gt;0,$D$20&lt;&gt;0),AVERAGE($D$20,$H$20),"")</f>
        <v>0.71889999999999998</v>
      </c>
      <c r="L10" s="14">
        <f>IF(OR($C$20&lt;&gt;0,$G$20&lt;&gt;0),SUM($C$20,$G$20),"")</f>
        <v>124.84</v>
      </c>
      <c r="M10" s="6">
        <f>IF(AND($H$20&lt;&gt;0,$D$20&lt;&gt;0),AVERAGE($D$20,$H$20),NA())</f>
        <v>0.71889999999999998</v>
      </c>
      <c r="N10" s="15">
        <f>IF(OR($C$20&lt;&gt;0,$G$20&lt;&gt;0),SUM($C$20,$G$20),NA())</f>
        <v>124.84</v>
      </c>
    </row>
    <row r="11" spans="1:38" x14ac:dyDescent="0.25">
      <c r="B11" t="str">
        <f>_xll.barchart.udfs.BEOE("TSLA","AvailableNumberOfStrikes=1")</f>
        <v>TSLA</v>
      </c>
      <c r="C11" t="s">
        <v>6</v>
      </c>
      <c r="D11" s="1">
        <v>44547</v>
      </c>
      <c r="E11">
        <v>11</v>
      </c>
      <c r="F11">
        <f>_xll.BERTD(B$11,F$10)</f>
        <v>1009.01</v>
      </c>
      <c r="G11" s="3">
        <f>_xll.BERTD(B$11,G$10)</f>
        <v>44536.776145833333</v>
      </c>
      <c r="J11" s="7">
        <f>IF($D$23,$D$23,"")</f>
        <v>44561</v>
      </c>
      <c r="K11" s="8">
        <f>IF(AND($H$26&lt;&gt;0,$D$26&lt;&gt;0),AVERAGE($D$26,$H$26),"")</f>
        <v>0.70714999999999995</v>
      </c>
      <c r="L11" s="14">
        <f>IF(OR($C$26&lt;&gt;0,$G$26&lt;&gt;0),SUM($C$26,$G$26),"")</f>
        <v>147.30000000000001</v>
      </c>
      <c r="M11" s="6">
        <f>IF(AND($H$26&lt;&gt;0,$D$26&lt;&gt;0),AVERAGE($D$26,$H$26),NA())</f>
        <v>0.70714999999999995</v>
      </c>
      <c r="N11" s="15">
        <f>IF(OR($C$26&lt;&gt;0,$G$26&lt;&gt;0),SUM($C$26,$G$26),"")</f>
        <v>147.30000000000001</v>
      </c>
    </row>
    <row r="12" spans="1:38" x14ac:dyDescent="0.25">
      <c r="B12" s="24" t="s">
        <v>7</v>
      </c>
      <c r="C12" s="24"/>
      <c r="D12" s="24"/>
      <c r="F12" s="24" t="s">
        <v>8</v>
      </c>
      <c r="G12" s="24"/>
      <c r="H12" s="24"/>
      <c r="J12" s="7">
        <f>IF($D$29,$D$29,"")</f>
        <v>44568</v>
      </c>
      <c r="K12" s="8">
        <f>IF(AND($H$32&lt;&gt;0,$D$32&lt;&gt;0),AVERAGE($D$32,$H$32),"")</f>
        <v>0.72070000000000001</v>
      </c>
      <c r="L12" s="14">
        <f>IF(OR($C$32&lt;&gt;0,$G$32&lt;&gt;0),SUM($C$32,$G$32),"")</f>
        <v>171.55</v>
      </c>
      <c r="M12" s="6">
        <f>IF(AND($H$32&lt;&gt;0,$D$32&lt;&gt;0),AVERAGE($D$32,$H$32),NA())</f>
        <v>0.72070000000000001</v>
      </c>
      <c r="N12" s="15">
        <f>IF(OR($C$32&lt;&gt;0,$G$32&lt;&gt;0),SUM($C$32,$G$32),NA())</f>
        <v>171.55</v>
      </c>
    </row>
    <row r="13" spans="1:38" x14ac:dyDescent="0.25">
      <c r="B13" t="s">
        <v>0</v>
      </c>
      <c r="C13" t="s">
        <v>4</v>
      </c>
      <c r="D13" t="s">
        <v>9</v>
      </c>
      <c r="E13" t="s">
        <v>10</v>
      </c>
      <c r="F13" t="s">
        <v>0</v>
      </c>
      <c r="G13" t="s">
        <v>4</v>
      </c>
      <c r="H13" t="s">
        <v>9</v>
      </c>
      <c r="J13" s="7">
        <f>IF($D$35,$D$35,"")</f>
        <v>44575</v>
      </c>
      <c r="K13" s="8">
        <f>IF(AND($H$38&lt;&gt;0,$D$38&lt;&gt;0),AVERAGE($D$38,$H$38),"")</f>
        <v>0.72465000000000002</v>
      </c>
      <c r="L13" s="14">
        <f>IF(OR($C$38&lt;&gt;0,$G$38&lt;&gt;0),SUM($C$38,$G$38),"")</f>
        <v>190.32999999999998</v>
      </c>
      <c r="M13" s="6">
        <f>IF(AND($H$38&lt;&gt;0,$D$38&lt;&gt;0),AVERAGE($D$38,$H$38),NA())</f>
        <v>0.72465000000000002</v>
      </c>
      <c r="N13" s="15">
        <f>IF(OR($C$38&lt;&gt;0,$G$38&lt;&gt;0),SUM($C$38,$G$38),NA())</f>
        <v>190.32999999999998</v>
      </c>
    </row>
    <row r="14" spans="1:38" x14ac:dyDescent="0.25">
      <c r="B14" t="str">
        <f>_xll.barchart.udfs.BEOSY(B$11,C$11,D$11,$E14,"C")</f>
        <v>TSLA|20211217|1010.00C</v>
      </c>
      <c r="C14" s="2">
        <f>_xll.BERTD($B14,C$13)</f>
        <v>50.7</v>
      </c>
      <c r="D14" s="4">
        <f>_xll.BERTD($B14,D$13)</f>
        <v>0.73260000000000003</v>
      </c>
      <c r="E14" s="5">
        <f>_xll.barchart.udfs.BEOST(B$11,C$11,D$11,F$11,0)</f>
        <v>1010</v>
      </c>
      <c r="F14" t="str">
        <f>_xll.barchart.udfs.BEOSY(B$11,C$11,D$11,$E14,"P")</f>
        <v>TSLA|20211217|1010.00P</v>
      </c>
      <c r="G14" s="2">
        <f>_xll.BERTD($F14,G$13)</f>
        <v>52.3</v>
      </c>
      <c r="H14" s="4">
        <f>_xll.BERTD($F14,H$13)</f>
        <v>0.74170000000000003</v>
      </c>
      <c r="J14" s="7">
        <f>IF($D$41,$D$41,"")</f>
        <v>44582</v>
      </c>
      <c r="K14" s="8">
        <f>IF(AND($H$44&lt;&gt;0,$D$44&lt;&gt;0),AVERAGE($D$44,$H$44),"")</f>
        <v>0.71815000000000007</v>
      </c>
      <c r="L14" s="14">
        <f>IF(OR($C$44&lt;&gt;0,$G$44&lt;&gt;0),SUM($C$44,$G$44),"")</f>
        <v>204.78</v>
      </c>
      <c r="M14" s="6">
        <f>IF(AND($H$44&lt;&gt;0,$D$44&lt;&gt;0),AVERAGE($D$44,$H$44),NA())</f>
        <v>0.71815000000000007</v>
      </c>
      <c r="N14" s="15">
        <f>IF(OR($C$44&lt;&gt;0,$G$44&lt;&gt;0),SUM($C$44,$G$44),NA())</f>
        <v>204.78</v>
      </c>
    </row>
    <row r="15" spans="1:38" x14ac:dyDescent="0.25">
      <c r="J15" s="7">
        <f>IF($D$47,$D$47,"")</f>
        <v>44610</v>
      </c>
      <c r="K15" s="8">
        <f>IF(AND($H$50&lt;&gt;0,$D$50&lt;&gt;0),AVERAGE($D$50,$H$50),"")</f>
        <v>0.73419999999999996</v>
      </c>
      <c r="L15" s="14">
        <f>IF(OR($C$50&lt;&gt;0,$G$50&lt;&gt;0),SUM($C$50,$G$50),"")</f>
        <v>266.62</v>
      </c>
      <c r="M15" s="6">
        <f>IF(AND($H$50&lt;&gt;0,$D$50&lt;&gt;0),AVERAGE($D$50,$H$50),NA())</f>
        <v>0.73419999999999996</v>
      </c>
      <c r="N15" s="15">
        <f>IF(OR($C$50&lt;&gt;0,$G$50&lt;&gt;0),SUM($C$50,$G$50),NA())</f>
        <v>266.62</v>
      </c>
    </row>
    <row r="16" spans="1:38" x14ac:dyDescent="0.25"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J16" s="7">
        <f>IF($D$53,$D$53,"")</f>
        <v>44638</v>
      </c>
      <c r="K16" s="8">
        <f>IF(AND($H$56&lt;&gt;0,$D$56&lt;&gt;0),AVERAGE($D$56,$H$56),"")</f>
        <v>0.71625000000000005</v>
      </c>
      <c r="L16" s="14">
        <f>IF(OR($C$56&lt;&gt;0,$G$56&lt;&gt;0),SUM($C$56,$G$56),"")</f>
        <v>301.64999999999998</v>
      </c>
      <c r="M16" s="6">
        <f>IF(AND($H$56&lt;&gt;0,$D$56&lt;&gt;0),AVERAGE($D$56,$H$56),NA())</f>
        <v>0.71625000000000005</v>
      </c>
      <c r="N16" s="15">
        <f>IF(OR($C$56&lt;&gt;0,$G$56&lt;&gt;0),SUM($C$56,$G$56),NA())</f>
        <v>301.64999999999998</v>
      </c>
    </row>
    <row r="17" spans="2:14" x14ac:dyDescent="0.25">
      <c r="B17" t="str">
        <f>_xll.barchart.udfs.BEOE("TSLA","AvailableNumberOfStrikes=1")</f>
        <v>TSLA</v>
      </c>
      <c r="C17" t="s">
        <v>6</v>
      </c>
      <c r="D17" s="1">
        <v>44553</v>
      </c>
      <c r="E17">
        <v>17</v>
      </c>
      <c r="F17">
        <f>_xll.BERTD(B$17,F$16)</f>
        <v>1009.01</v>
      </c>
      <c r="G17" s="3">
        <f>_xll.BERTD(B$17,G$16)</f>
        <v>44536.776145833333</v>
      </c>
      <c r="J17" s="7">
        <f>IF($D$59,$D$59,"")</f>
        <v>44665</v>
      </c>
      <c r="K17" s="8">
        <f>IF(AND($H$62&lt;&gt;0,$D$62&lt;&gt;0),AVERAGE($D$62,$H$62),"")</f>
        <v>0.70310000000000006</v>
      </c>
      <c r="L17" s="14">
        <f>IF(OR($C$62&lt;&gt;0,$G$62&lt;&gt;0),SUM($C$62,$G$62),"")</f>
        <v>331.35</v>
      </c>
      <c r="M17" s="6">
        <f>IF(AND($H$62&lt;&gt;0,$D$62&lt;&gt;0),AVERAGE($D$62,$H$62),NA())</f>
        <v>0.70310000000000006</v>
      </c>
      <c r="N17" s="15">
        <f>IF(OR($C$62&lt;&gt;0,$G$62&lt;&gt;0),SUM($C$62,$G$62),NA())</f>
        <v>331.35</v>
      </c>
    </row>
    <row r="18" spans="2:14" x14ac:dyDescent="0.25">
      <c r="B18" s="24" t="s">
        <v>7</v>
      </c>
      <c r="C18" s="24"/>
      <c r="D18" s="24"/>
      <c r="F18" s="24" t="s">
        <v>8</v>
      </c>
      <c r="G18" s="24"/>
      <c r="H18" s="24"/>
      <c r="J18" s="7">
        <f>IF($D$65,$D$65,"")</f>
        <v>44701</v>
      </c>
      <c r="K18" s="8">
        <f>IF(AND($H$68&lt;&gt;0,$D68&lt;&gt;0),AVERAGE($D$68,$H$68),"")</f>
        <v>0.69724999999999993</v>
      </c>
      <c r="L18" s="14">
        <f>IF(OR($C$68&lt;&gt;0,$G$68&lt;&gt;0),SUM($C$68,$G$68),"")</f>
        <v>370.42</v>
      </c>
      <c r="M18" s="6">
        <f>IF(AND($H$68&lt;&gt;0,$D68&lt;&gt;0),AVERAGE($D$68,$H$68),NA())</f>
        <v>0.69724999999999993</v>
      </c>
      <c r="N18" s="15">
        <f>IF(OR($C$68&lt;&gt;0,$G$68&lt;&gt;0),SUM($C$68,$G$68),NA())</f>
        <v>370.42</v>
      </c>
    </row>
    <row r="19" spans="2:14" x14ac:dyDescent="0.25">
      <c r="B19" t="s">
        <v>0</v>
      </c>
      <c r="C19" t="s">
        <v>4</v>
      </c>
      <c r="D19" t="s">
        <v>9</v>
      </c>
      <c r="E19" t="s">
        <v>10</v>
      </c>
      <c r="F19" t="s">
        <v>0</v>
      </c>
      <c r="G19" t="s">
        <v>4</v>
      </c>
      <c r="H19" t="s">
        <v>9</v>
      </c>
      <c r="J19" s="7">
        <f>IF($D$71,$D$71,"")</f>
        <v>44729</v>
      </c>
      <c r="K19" s="8">
        <f>IF(AND($H$74&lt;&gt;0,$D$74&lt;&gt;0),AVERAGE($D$74,$H$74),"")</f>
        <v>0.68595000000000006</v>
      </c>
      <c r="L19" s="14">
        <f>IF(OR($C$74&lt;&gt;0,$G$74&lt;&gt;0),SUM($C$74,$G$74),"")</f>
        <v>394.65</v>
      </c>
      <c r="M19" s="6">
        <f>IF(AND($H$74&lt;&gt;0,$D$74&lt;&gt;0),AVERAGE($D$74,$H$74),NA())</f>
        <v>0.68595000000000006</v>
      </c>
      <c r="N19" s="15">
        <f>IF(OR($C$74&lt;&gt;0,$G$74&lt;&gt;0),SUM($C$74,$G$74),NA())</f>
        <v>394.65</v>
      </c>
    </row>
    <row r="20" spans="2:14" x14ac:dyDescent="0.25">
      <c r="B20" t="str">
        <f>_xll.barchart.udfs.BEOSY(B$17,C$17,D$17,$E20,"C")</f>
        <v>TSLA|20211223|1010.00C</v>
      </c>
      <c r="C20" s="2">
        <f>_xll.BERTD($B20,C$19)</f>
        <v>61.75</v>
      </c>
      <c r="D20" s="4">
        <f>_xll.BERTD($B20,D$19)</f>
        <v>0.7167</v>
      </c>
      <c r="E20" s="5">
        <f>_xll.barchart.udfs.BEOST(B$17,C$17,D$17,F$17,0)</f>
        <v>1010</v>
      </c>
      <c r="F20" t="str">
        <f>_xll.barchart.udfs.BEOSY(B$17,C$17,D$17,$E20,"P")</f>
        <v>TSLA|20211223|1010.00P</v>
      </c>
      <c r="G20" s="2">
        <f>_xll.BERTD($F20,G$19)</f>
        <v>63.09</v>
      </c>
      <c r="H20" s="4">
        <f>_xll.BERTD($F20,H$19)</f>
        <v>0.72109999999999996</v>
      </c>
      <c r="J20" s="7">
        <f>IF($D$77,$D$77,"")</f>
        <v>44757</v>
      </c>
      <c r="K20" s="8">
        <f>IF(AND($H$80&lt;&gt;0,$D$80&lt;&gt;0),AVERAGE($D$80,$H$80),"")</f>
        <v>0.69584999999999997</v>
      </c>
      <c r="L20" s="14">
        <f>IF(OR($C$80&lt;&gt;0,$G$80&lt;&gt;0),SUM($C$80,$G$80),"")</f>
        <v>427.73</v>
      </c>
      <c r="M20" s="6">
        <f>IF(AND($H$80&lt;&gt;0,$D$80&lt;&gt;0),AVERAGE($D$80,$H$80),NA())</f>
        <v>0.69584999999999997</v>
      </c>
      <c r="N20" s="15">
        <f>IF(OR($C$80&lt;&gt;0,$G$80&lt;&gt;0),SUM($C$80,$G$80),NA())</f>
        <v>427.73</v>
      </c>
    </row>
    <row r="21" spans="2:14" x14ac:dyDescent="0.25">
      <c r="J21" s="7">
        <f>IF($D$83,$D$83,"")</f>
        <v>44820</v>
      </c>
      <c r="K21" s="8">
        <f>IF(AND($H$86&lt;&gt;0,$D$86&lt;&gt;0),AVERAGE($D$86,$H$86),"")</f>
        <v>0.66874999999999996</v>
      </c>
      <c r="L21" s="14">
        <f>IF(OR($C$86&lt;&gt;0,$G$86&lt;&gt;0),SUM($C$86,$G$86),"")</f>
        <v>454.8</v>
      </c>
      <c r="M21" s="6">
        <f>IF(AND($H$86&lt;&gt;0,$D$86&lt;&gt;0),AVERAGE($D$86,$H$86),NA())</f>
        <v>0.66874999999999996</v>
      </c>
      <c r="N21" s="15">
        <f>IF(OR($C$86&lt;&gt;0,$G$86&lt;&gt;0),SUM($C$86,$G$86),NA())</f>
        <v>454.8</v>
      </c>
    </row>
    <row r="22" spans="2:14" x14ac:dyDescent="0.25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J22" s="7">
        <f>IF($D$89,$D$89,"")</f>
        <v>44946</v>
      </c>
      <c r="K22" s="8">
        <f>IF(AND($H$92&lt;&gt;0,$D$92&lt;&gt;0),AVERAGE($D$92,$H$92),"")</f>
        <v>0.65864999999999996</v>
      </c>
      <c r="L22" s="14">
        <f>IF(OR($C$92&lt;&gt;0,$G$92&lt;&gt;0),SUM($C$92,$G$92),"")</f>
        <v>547.79999999999995</v>
      </c>
      <c r="M22" s="6">
        <f>IF(AND($H$92&lt;&gt;0,$D$92&lt;&gt;0),AVERAGE($D$92,$H$92),NA())</f>
        <v>0.65864999999999996</v>
      </c>
      <c r="N22" s="15">
        <f>IF(OR($C$92&lt;&gt;0,$G$92&lt;&gt;0),SUM($C$92,$G$92),NA())</f>
        <v>547.79999999999995</v>
      </c>
    </row>
    <row r="23" spans="2:14" x14ac:dyDescent="0.25">
      <c r="B23" t="str">
        <f>_xll.barchart.udfs.BEOE("TSLA","AvailableNumberOfStrikes=1")</f>
        <v>TSLA</v>
      </c>
      <c r="C23" t="s">
        <v>6</v>
      </c>
      <c r="D23" s="1">
        <v>44561</v>
      </c>
      <c r="E23">
        <v>25</v>
      </c>
      <c r="F23">
        <f>_xll.BERTD(B$23,F$22)</f>
        <v>1009.01</v>
      </c>
      <c r="G23" s="3">
        <f>_xll.BERTD(B$23,G$22)</f>
        <v>44536.776145833333</v>
      </c>
      <c r="J23" s="7">
        <f>IF($D$95,$D$95,"")</f>
        <v>45002</v>
      </c>
      <c r="K23" s="8">
        <f>IF(AND($H$98&lt;&gt;0,$D$98&lt;&gt;0),AVERAGE($D$98,$H$98),"")</f>
        <v>0.66225000000000001</v>
      </c>
      <c r="L23" s="14">
        <f>IF(OR($C$98&lt;&gt;0,$G$98&lt;&gt;0),SUM($C$98,$G$98),"")</f>
        <v>584.78</v>
      </c>
      <c r="M23" s="6">
        <f>IF(AND($H$98&lt;&gt;0,$D$98&lt;&gt;0),AVERAGE($D$98,$H$98),NA())</f>
        <v>0.66225000000000001</v>
      </c>
      <c r="N23" s="15">
        <f>IF(OR($C$98&lt;&gt;0,$G$98&lt;&gt;0),SUM($C$98,$G$98),NA())</f>
        <v>584.78</v>
      </c>
    </row>
    <row r="24" spans="2:14" x14ac:dyDescent="0.25">
      <c r="B24" s="24" t="s">
        <v>7</v>
      </c>
      <c r="C24" s="24"/>
      <c r="D24" s="24"/>
      <c r="F24" s="24" t="s">
        <v>8</v>
      </c>
      <c r="G24" s="24"/>
      <c r="H24" s="24"/>
      <c r="J24" s="7">
        <f>IF($D$101,$D$101,"")</f>
        <v>45093</v>
      </c>
      <c r="K24" s="8">
        <f>IF(AND($H$104&lt;&gt;0,$D$104&lt;&gt;0),AVERAGE($D$104,$H$104),"")</f>
        <v>0.65454999999999997</v>
      </c>
      <c r="L24" s="14">
        <f>IF(OR($C$104&lt;&gt;0,$G$104&lt;&gt;0),SUM($C$104,$G$104),"")</f>
        <v>640.67999999999995</v>
      </c>
      <c r="M24" s="6">
        <f>IF(AND($H$104&lt;&gt;0,$D$104&lt;&gt;0),AVERAGE($D$104,$H$104),NA())</f>
        <v>0.65454999999999997</v>
      </c>
      <c r="N24" s="15">
        <f>IF(OR($C$104&lt;&gt;0,$G$104&lt;&gt;0),SUM($C$104,$G$104),NA())</f>
        <v>640.67999999999995</v>
      </c>
    </row>
    <row r="25" spans="2:14" x14ac:dyDescent="0.25">
      <c r="B25" t="s">
        <v>0</v>
      </c>
      <c r="C25" t="s">
        <v>4</v>
      </c>
      <c r="D25" t="s">
        <v>9</v>
      </c>
      <c r="E25" t="s">
        <v>10</v>
      </c>
      <c r="F25" t="s">
        <v>0</v>
      </c>
      <c r="G25" t="s">
        <v>4</v>
      </c>
      <c r="H25" t="s">
        <v>9</v>
      </c>
      <c r="J25" s="7">
        <f>IF($D$107,$D$107,"")</f>
        <v>45310</v>
      </c>
      <c r="K25" s="8">
        <f>IF(AND($H$110&lt;&gt;0,$D$110&lt;&gt;0),AVERAGE($D$110,$H$110),"")</f>
        <v>0.65375000000000005</v>
      </c>
      <c r="L25" s="14">
        <f>IF(OR($C$110&lt;&gt;0,$G$110&lt;&gt;0),SUM($C$1110,$G$110),"")</f>
        <v>348</v>
      </c>
      <c r="M25" s="6">
        <f>IF(AND($H$110&lt;&gt;0,$D$110&lt;&gt;0),AVERAGE($D$110,$H$110),NA())</f>
        <v>0.65375000000000005</v>
      </c>
      <c r="N25" s="15">
        <f>IF(OR($C$110&lt;&gt;0,$G$110&lt;&gt;0),SUM($C$1110,$G$110),NA())</f>
        <v>348</v>
      </c>
    </row>
    <row r="26" spans="2:14" x14ac:dyDescent="0.25">
      <c r="B26" t="str">
        <f>_xll.barchart.udfs.BEOSY(B$23,C$23,D$23,$E26,"C")</f>
        <v>TSLA|20211231|1010.00C</v>
      </c>
      <c r="C26" s="2">
        <f>_xll.BERTD($B26,C$25)</f>
        <v>71.5</v>
      </c>
      <c r="D26" s="4">
        <f>_xll.BERTD($B26,D$25)</f>
        <v>0.70760000000000001</v>
      </c>
      <c r="E26" s="5">
        <f>_xll.barchart.udfs.BEOST(B$23,C$23,D$23,F$23,0)</f>
        <v>1010</v>
      </c>
      <c r="F26" t="str">
        <f>_xll.barchart.udfs.BEOSY(B$23,C$23,D$23,$E26,"P")</f>
        <v>TSLA|20211231|1010.00P</v>
      </c>
      <c r="G26" s="2">
        <f>_xll.BERTD($F26,G$25)</f>
        <v>75.8</v>
      </c>
      <c r="H26" s="4">
        <f>_xll.BERTD($F26,H$25)</f>
        <v>0.70669999999999999</v>
      </c>
      <c r="J26" s="7" t="str">
        <f>IF($D$113,$D$113,"")</f>
        <v/>
      </c>
      <c r="K26" s="8" t="str">
        <f>IF(AND($H$116&lt;&gt;0,$D$116&lt;&gt;0),AVERAGE($D$116,$H$116),"")</f>
        <v/>
      </c>
      <c r="L26" s="14" t="str">
        <f>IF(OR($C$116&lt;&gt;0,$G$116&lt;&gt;0),SUM($C$116,$G$116),"")</f>
        <v/>
      </c>
      <c r="M26" s="6" t="e">
        <f>IF(AND($H$116&lt;&gt;0,$D$116&lt;&gt;0),AVERAGE($D$116,$H$116),NA())</f>
        <v>#N/A</v>
      </c>
      <c r="N26" s="15" t="e">
        <f>IF(OR($C$116&lt;&gt;0,$G$116&lt;&gt;0),SUM($C$116,$G$116),NA())</f>
        <v>#N/A</v>
      </c>
    </row>
    <row r="27" spans="2:14" x14ac:dyDescent="0.25">
      <c r="J27" s="7" t="str">
        <f>IF($D$119,$D$119,"")</f>
        <v/>
      </c>
      <c r="K27" s="8" t="str">
        <f>IF(AND($H$122&lt;&gt;0,$D$122&lt;&gt;0),AVERAGE($D$122,$H$122),"")</f>
        <v/>
      </c>
      <c r="L27" s="14" t="str">
        <f>IF(OR($C$122&lt;&gt;0,$G$122&lt;&gt;0),SUM($C$122,$G$122),"")</f>
        <v/>
      </c>
      <c r="M27" s="6" t="e">
        <f>IF(AND($H$122&lt;&gt;0,$D$122&lt;&gt;0),AVERAGE($D$122,$H$122),NA())</f>
        <v>#N/A</v>
      </c>
      <c r="N27" s="15" t="e">
        <f>IF(OR($C$122&lt;&gt;0,$G$122&lt;&gt;0),SUM($C$122,$G$122),NA())</f>
        <v>#N/A</v>
      </c>
    </row>
    <row r="28" spans="2:14" x14ac:dyDescent="0.25"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J28" s="7" t="str">
        <f>IF($D$125,$D$125,"")</f>
        <v/>
      </c>
      <c r="K28" s="8" t="str">
        <f>IF(AND($H$128&lt;&gt;0,$D$128&lt;&gt;0),AVERAGE($D$128,$H$128),"")</f>
        <v/>
      </c>
      <c r="L28" s="14" t="str">
        <f>IF(OR($C$128&lt;&gt;0,$G$128&lt;&gt;0),SUM($C$128,$G$128),"")</f>
        <v/>
      </c>
      <c r="M28" s="6" t="e">
        <f>IF(AND($H$128&lt;&gt;0,$D$128&lt;&gt;0),AVERAGE($D$128,$H$128),NA())</f>
        <v>#N/A</v>
      </c>
      <c r="N28" s="15" t="e">
        <f>IF(OR($C$128&lt;&gt;0,$G$128&lt;&gt;0),SUM($C$128,$G$128),NA())</f>
        <v>#N/A</v>
      </c>
    </row>
    <row r="29" spans="2:14" x14ac:dyDescent="0.25">
      <c r="B29" t="str">
        <f>_xll.barchart.udfs.BEOE("TSLA","AvailableNumberOfStrikes=1")</f>
        <v>TSLA</v>
      </c>
      <c r="C29" t="s">
        <v>6</v>
      </c>
      <c r="D29" s="1">
        <v>44568</v>
      </c>
      <c r="E29">
        <v>32</v>
      </c>
      <c r="F29">
        <f>_xll.BERTD(B$29,F$28)</f>
        <v>1009.01</v>
      </c>
      <c r="G29" s="3">
        <f>_xll.BERTD(B$29,G$28)</f>
        <v>44536.776145833333</v>
      </c>
      <c r="J29" s="7" t="str">
        <f>IF($D$131,$D$131,"")</f>
        <v/>
      </c>
      <c r="K29" s="8" t="str">
        <f>IF(AND($H$134&lt;&gt;0,$D$134&lt;&gt;0),AVERAGE($D$134,$H$134),"")</f>
        <v/>
      </c>
      <c r="L29" s="14" t="str">
        <f>IF(OR($C$134&lt;&gt;0,$G$134&lt;&gt;0),SUM($C$134,$G$134),"")</f>
        <v/>
      </c>
      <c r="M29" s="6" t="e">
        <f>IF(AND($H$134&lt;&gt;0,$D$134&lt;&gt;0),AVERAGE($D$134,$H$134),NA())</f>
        <v>#N/A</v>
      </c>
      <c r="N29" s="15" t="e">
        <f>IF(OR($C$134&lt;&gt;0,$G$134&lt;&gt;0),SUM($C$134,$G$134),NA())</f>
        <v>#N/A</v>
      </c>
    </row>
    <row r="30" spans="2:14" x14ac:dyDescent="0.25">
      <c r="B30" s="24" t="s">
        <v>7</v>
      </c>
      <c r="C30" s="24"/>
      <c r="D30" s="24"/>
      <c r="F30" s="24" t="s">
        <v>8</v>
      </c>
      <c r="G30" s="24"/>
      <c r="H30" s="24"/>
      <c r="J30" s="7" t="str">
        <f>IF($D$137,$D$137,"")</f>
        <v/>
      </c>
      <c r="K30" s="8" t="str">
        <f>IF(AND($H$140&lt;&gt;0,$D$140&lt;&gt;0),AVERAGE($D$140,$H$140),"")</f>
        <v/>
      </c>
      <c r="L30" s="14" t="str">
        <f>IF(OR($C$140&lt;&gt;0,$G$140&lt;&gt;0),SUM($C$140,$G$140),"")</f>
        <v/>
      </c>
      <c r="M30" s="6" t="e">
        <f>IF(AND($H$140&lt;&gt;0,$D$140&lt;&gt;0),AVERAGE($D$140,$H$140),NA())</f>
        <v>#N/A</v>
      </c>
      <c r="N30" s="15" t="e">
        <f>IF(OR($C$140&lt;&gt;0,$G$140&lt;&gt;0),SUM($C$140,$G$140),NA())</f>
        <v>#N/A</v>
      </c>
    </row>
    <row r="31" spans="2:14" x14ac:dyDescent="0.25">
      <c r="B31" t="s">
        <v>0</v>
      </c>
      <c r="C31" t="s">
        <v>4</v>
      </c>
      <c r="D31" t="s">
        <v>9</v>
      </c>
      <c r="E31" t="s">
        <v>10</v>
      </c>
      <c r="F31" t="s">
        <v>0</v>
      </c>
      <c r="G31" t="s">
        <v>4</v>
      </c>
      <c r="H31" t="s">
        <v>9</v>
      </c>
      <c r="J31" s="7" t="str">
        <f>IF($D$143,$D$143,"")</f>
        <v/>
      </c>
      <c r="K31" s="8" t="str">
        <f>IF(AND($H$146&lt;&gt;0,$D$146&lt;&gt;0),AVERAGE($D$146,$H$146),"")</f>
        <v/>
      </c>
      <c r="L31" s="14" t="str">
        <f>IF(OR($C$146&lt;&gt;0,$G$146&lt;&gt;0),SUM($C$146,$G$146),"")</f>
        <v/>
      </c>
      <c r="M31" s="6" t="e">
        <f>IF(AND($H$146&lt;&gt;0,$D$146&lt;&gt;0),AVERAGE($D$146,$H$146),NA())</f>
        <v>#N/A</v>
      </c>
      <c r="N31" s="15" t="e">
        <f>IF(OR($C$146&lt;&gt;0,$G$146&lt;&gt;0),SUM($C$146,$G$146),NA())</f>
        <v>#N/A</v>
      </c>
    </row>
    <row r="32" spans="2:14" x14ac:dyDescent="0.25">
      <c r="B32" t="str">
        <f>_xll.barchart.udfs.BEOSY(B$29,C$29,D$29,$E32,"C")</f>
        <v>TSLA|20220107|1010.00C</v>
      </c>
      <c r="C32" s="2">
        <f>_xll.BERTD($B32,C$31)</f>
        <v>86.05</v>
      </c>
      <c r="D32" s="4">
        <f>_xll.BERTD($B32,D$31)</f>
        <v>0.72709999999999997</v>
      </c>
      <c r="E32" s="5">
        <f>_xll.barchart.udfs.BEOST(B$29,C$29,D$29,F$29,0)</f>
        <v>1010</v>
      </c>
      <c r="F32" t="str">
        <f>_xll.barchart.udfs.BEOSY(B$29,C$29,D$29,$E32,"P")</f>
        <v>TSLA|20220107|1010.00P</v>
      </c>
      <c r="G32" s="2">
        <f>_xll.BERTD($F32,G$31)</f>
        <v>85.5</v>
      </c>
      <c r="H32" s="4">
        <f>_xll.BERTD($F32,H$31)</f>
        <v>0.71430000000000005</v>
      </c>
      <c r="J32" s="7" t="str">
        <f>IF($D$149,$D$149,"")</f>
        <v/>
      </c>
      <c r="K32" s="8" t="str">
        <f>IF(AND($H$152&lt;&gt;0,$D$152&lt;&gt;0),AVERAGE($D$152,$H$152),"")</f>
        <v/>
      </c>
      <c r="L32" s="14" t="str">
        <f>IF(OR($C$152&lt;&gt;0,$G$152&lt;&gt;0),SUM($C$152,$G$152),"")</f>
        <v/>
      </c>
      <c r="M32" s="6" t="e">
        <f>IF(AND($H$152&lt;&gt;0,$D$152&lt;&gt;0),AVERAGE($D$152,$H$152),NA())</f>
        <v>#N/A</v>
      </c>
      <c r="N32" s="15" t="e">
        <f>IF(OR($C$152&lt;&gt;0,$G$152&lt;&gt;0),SUM($C$152,$G$152),NA())</f>
        <v>#N/A</v>
      </c>
    </row>
    <row r="33" spans="2:14" x14ac:dyDescent="0.25">
      <c r="J33" s="7" t="str">
        <f>IF($D$155,$D$155,"")</f>
        <v/>
      </c>
      <c r="K33" s="8" t="str">
        <f>IF(AND($H$158&lt;&gt;0,$D$158&lt;&gt;0),AVERAGE($D$158,$H$158),"")</f>
        <v/>
      </c>
      <c r="L33" s="14" t="str">
        <f>IF(OR($C$158&lt;&gt;0,$G$158&lt;&gt;0),SUM($C$158,$G$158),"")</f>
        <v/>
      </c>
      <c r="M33" s="6" t="e">
        <f>IF(AND($H$158&lt;&gt;0,$D$158&lt;&gt;0),AVERAGE($D$158,$H$158),NA())</f>
        <v>#N/A</v>
      </c>
      <c r="N33" s="15" t="e">
        <f>IF(OR($C$158&lt;&gt;0,$G$158&lt;&gt;0),SUM($C$158,$G$158),NA())</f>
        <v>#N/A</v>
      </c>
    </row>
    <row r="34" spans="2:14" x14ac:dyDescent="0.25"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J34" s="7" t="str">
        <f>IF($D$161,$D$161,"")</f>
        <v/>
      </c>
      <c r="K34" s="8" t="str">
        <f>IF(AND($H$164&lt;&gt;0,$D$164&lt;&gt;0),AVERAGE($D$164,$H$164),"")</f>
        <v/>
      </c>
      <c r="L34" s="14" t="str">
        <f>IF(OR($C$164&lt;&gt;0,$G$164&lt;&gt;0),SUM($C$164,$G$164),"")</f>
        <v/>
      </c>
      <c r="M34" s="6" t="e">
        <f>IF(AND($H$164&lt;&gt;0,$D$164&lt;&gt;0),AVERAGE($D$164,$H$164),NA())</f>
        <v>#N/A</v>
      </c>
      <c r="N34" s="15" t="e">
        <f>IF(OR($C$164&lt;&gt;0,$G$164&lt;&gt;0),SUM($C$164,$G$164),NA())</f>
        <v>#N/A</v>
      </c>
    </row>
    <row r="35" spans="2:14" x14ac:dyDescent="0.25">
      <c r="B35" t="str">
        <f>_xll.barchart.udfs.BEOE("TSLA","AvailableNumberOfStrikes=1")</f>
        <v>TSLA</v>
      </c>
      <c r="C35" t="s">
        <v>6</v>
      </c>
      <c r="D35" s="1">
        <v>44575</v>
      </c>
      <c r="E35">
        <v>39</v>
      </c>
      <c r="F35">
        <f>_xll.BERTD(B$35,F$34)</f>
        <v>1009.01</v>
      </c>
      <c r="G35" s="3">
        <f>_xll.BERTD(B$35,G$34)</f>
        <v>44536.776145833333</v>
      </c>
      <c r="J35" s="7" t="str">
        <f>IF($D$167,$D$167,"")</f>
        <v/>
      </c>
      <c r="K35" s="8" t="str">
        <f>IF(AND($H$170&lt;&gt;0,$D$170&lt;&gt;0),AVERAGE($D$170,$H$170),"")</f>
        <v/>
      </c>
      <c r="L35" s="14" t="str">
        <f>IF(OR($C$170&lt;&gt;0,$G$170&lt;&gt;0),SUM($C$170,$G$170),"")</f>
        <v/>
      </c>
      <c r="M35" s="6" t="e">
        <f>IF(AND($H$170&lt;&gt;0,$D$170&lt;&gt;0),AVERAGE($D$170,$H$170),NA())</f>
        <v>#N/A</v>
      </c>
      <c r="N35" s="15" t="e">
        <f>IF(OR($C$170&lt;&gt;0,$G$170&lt;&gt;0),SUM($C$170,$G$170),NA())</f>
        <v>#N/A</v>
      </c>
    </row>
    <row r="36" spans="2:14" x14ac:dyDescent="0.25">
      <c r="B36" s="24" t="s">
        <v>7</v>
      </c>
      <c r="C36" s="24"/>
      <c r="D36" s="24"/>
      <c r="F36" s="24" t="s">
        <v>8</v>
      </c>
      <c r="G36" s="24"/>
      <c r="H36" s="24"/>
      <c r="J36" s="7" t="str">
        <f>IF($D$173,$D$173,"")</f>
        <v/>
      </c>
      <c r="K36" s="8" t="str">
        <f>IF(AND($H$176&lt;&gt;0,$D$176&lt;&gt;0),AVERAGE($D$176,$H$176),"")</f>
        <v/>
      </c>
      <c r="L36" s="14" t="str">
        <f>IF(OR($C$176&lt;&gt;0,$G$176&lt;&gt;0),SUM($C$176,$G$176),"")</f>
        <v/>
      </c>
      <c r="M36" s="6" t="e">
        <f>IF(AND($H$176&lt;&gt;0,$D$176&lt;&gt;0),AVERAGE($D$176,$H$176),NA())</f>
        <v>#N/A</v>
      </c>
      <c r="N36" s="15" t="e">
        <f>IF(OR($C$176&lt;&gt;0,$G$176&lt;&gt;0),SUM($C$176,$G$176),NA())</f>
        <v>#N/A</v>
      </c>
    </row>
    <row r="37" spans="2:14" x14ac:dyDescent="0.25">
      <c r="B37" t="s">
        <v>0</v>
      </c>
      <c r="C37" t="s">
        <v>4</v>
      </c>
      <c r="D37" t="s">
        <v>9</v>
      </c>
      <c r="E37" t="s">
        <v>10</v>
      </c>
      <c r="F37" t="s">
        <v>0</v>
      </c>
      <c r="G37" t="s">
        <v>4</v>
      </c>
      <c r="H37" t="s">
        <v>9</v>
      </c>
      <c r="J37" s="7" t="str">
        <f>IF($D$179,$D$179,"")</f>
        <v/>
      </c>
      <c r="K37" s="8" t="str">
        <f>IF(AND($H$182&lt;&gt;0,$D$182&lt;&gt;0),AVERAGE($D$182,$H$182),"")</f>
        <v/>
      </c>
      <c r="L37" s="14" t="str">
        <f>IF(OR($C$182&lt;&gt;0,$G$182&lt;&gt;0),SUM($C$182,$G$182),"")</f>
        <v/>
      </c>
      <c r="M37" s="6" t="e">
        <f>IF(AND($H$182&lt;&gt;0,$D$182&lt;&gt;0),AVERAGE($D$182,$H$182),NA())</f>
        <v>#N/A</v>
      </c>
      <c r="N37" s="15" t="e">
        <f>IF(OR($C$182&lt;&gt;0,$G$182&lt;&gt;0),SUM($C$182,$G$182),NA())</f>
        <v>#N/A</v>
      </c>
    </row>
    <row r="38" spans="2:14" x14ac:dyDescent="0.25">
      <c r="B38" t="str">
        <f>_xll.barchart.udfs.BEOSY(B$35,C$35,D$35,$E38,"C")</f>
        <v>TSLA|20220114|1010.00C</v>
      </c>
      <c r="C38" s="2">
        <f>_xll.BERTD($B38,C$37)</f>
        <v>94.88</v>
      </c>
      <c r="D38" s="4">
        <f>_xll.BERTD($B38,D$37)</f>
        <v>0.72609999999999997</v>
      </c>
      <c r="E38" s="5">
        <f>_xll.barchart.udfs.BEOST(B$35,C$35,D$35,F$35,0)</f>
        <v>1010</v>
      </c>
      <c r="F38" t="str">
        <f>_xll.barchart.udfs.BEOSY(B$35,C$35,D$35,$E38,"P")</f>
        <v>TSLA|20220114|1010.00P</v>
      </c>
      <c r="G38" s="2">
        <f>_xll.BERTD($F38,G$37)</f>
        <v>95.45</v>
      </c>
      <c r="H38" s="4">
        <f>_xll.BERTD($F38,H$37)</f>
        <v>0.72319999999999995</v>
      </c>
      <c r="J38" s="7" t="str">
        <f>IF($D$185,$D$185,"")</f>
        <v/>
      </c>
      <c r="K38" s="8" t="str">
        <f>IF(AND($H$188&lt;&gt;0,$D$188&lt;&gt;0),AVERAGE($D$188,$H$188),"")</f>
        <v/>
      </c>
      <c r="L38" s="14" t="str">
        <f>IF(OR($C$188&lt;&gt;0,$G$188&lt;&gt;0),SUM($C$188,$G$188),"")</f>
        <v/>
      </c>
      <c r="M38" s="6" t="e">
        <f>IF(AND($H$188&lt;&gt;0,$D$188&lt;&gt;0),AVERAGE($D$188,$H$188),NA())</f>
        <v>#N/A</v>
      </c>
      <c r="N38" s="15" t="e">
        <f>IF(OR($C$188&lt;&gt;0,$G$188&lt;&gt;0),SUM($C$188,$G$188),NA())</f>
        <v>#N/A</v>
      </c>
    </row>
    <row r="39" spans="2:14" x14ac:dyDescent="0.25">
      <c r="J39" s="7" t="str">
        <f>IF($D$191,$D$191,"")</f>
        <v/>
      </c>
      <c r="K39" s="8" t="str">
        <f>IF(AND($H$194&lt;&gt;0,$D$194&lt;&gt;0),AVERAGE($D$194,$H$194),"")</f>
        <v/>
      </c>
      <c r="L39" s="14" t="str">
        <f>IF(OR($C$194&lt;&gt;0,$G$194&lt;&gt;0),SUM($C$194,$G$194),"")</f>
        <v/>
      </c>
      <c r="M39" s="6" t="e">
        <f>IF(AND($H$194&lt;&gt;0,$D$194&lt;&gt;0),AVERAGE($D$194,$H$194),NA())</f>
        <v>#N/A</v>
      </c>
      <c r="N39" s="15" t="e">
        <f>IF(OR($C$194&lt;&gt;0,$G$194&lt;&gt;0),SUM($C$194,$G$194),NA())</f>
        <v>#N/A</v>
      </c>
    </row>
    <row r="40" spans="2:14" x14ac:dyDescent="0.25">
      <c r="B40" t="s">
        <v>0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J40" s="9" t="str">
        <f>IF($D$197,$D$197,"")</f>
        <v/>
      </c>
      <c r="K40" s="8" t="str">
        <f>IF(AND($H$200&lt;&gt;0,$D$200&lt;&gt;0),AVERAGE($D$200,$H$200),"")</f>
        <v/>
      </c>
      <c r="L40" s="14" t="str">
        <f>IF(OR($C$200&lt;&gt;0,$G$200&lt;&gt;0),SUM($C$200,$G$200),"")</f>
        <v/>
      </c>
      <c r="M40" s="6" t="e">
        <f>IF(AND($H$200&lt;&gt;0,$D$200&lt;&gt;0),AVERAGE($D$200,$H$200),NA())</f>
        <v>#N/A</v>
      </c>
      <c r="N40" s="15" t="e">
        <f>IF(OR($C$200&lt;&gt;0,$G$200&lt;&gt;0),SUM($C$200,$G$200),NA())</f>
        <v>#N/A</v>
      </c>
    </row>
    <row r="41" spans="2:14" x14ac:dyDescent="0.25">
      <c r="B41" t="str">
        <f>_xll.barchart.udfs.BEOE("TSLA","AvailableNumberOfStrikes=1")</f>
        <v>TSLA</v>
      </c>
      <c r="C41" t="s">
        <v>6</v>
      </c>
      <c r="D41" s="1">
        <v>44582</v>
      </c>
      <c r="E41">
        <v>46</v>
      </c>
      <c r="F41">
        <f>_xll.BERTD(B$41,F$40)</f>
        <v>1009.01</v>
      </c>
      <c r="G41" s="3">
        <f>_xll.BERTD(B$41,G$40)</f>
        <v>44536.776145833333</v>
      </c>
      <c r="J41" s="9" t="str">
        <f>IF($D$203,$D$203,"")</f>
        <v/>
      </c>
      <c r="K41" s="8" t="str">
        <f>IF(AND($H$206&lt;&gt;0,$D$206&lt;&gt;0),AVERAGE($D$206,$H$206),"")</f>
        <v/>
      </c>
      <c r="L41" s="14" t="str">
        <f>IF(OR($C$206&lt;&gt;0,$G$206&lt;&gt;0),SUM($C$206,$G$206),"")</f>
        <v/>
      </c>
      <c r="M41" s="6" t="e">
        <f>IF(AND($H$206&lt;&gt;0,$D$206&lt;&gt;0),AVERAGE($D$206,$H$206),NA())</f>
        <v>#N/A</v>
      </c>
      <c r="N41" s="15" t="e">
        <f>IF(OR($C$206&lt;&gt;0,$G$206&lt;&gt;0),SUM($C$206,$G$206),NA())</f>
        <v>#N/A</v>
      </c>
    </row>
    <row r="42" spans="2:14" x14ac:dyDescent="0.25">
      <c r="B42" s="24" t="s">
        <v>7</v>
      </c>
      <c r="C42" s="24"/>
      <c r="D42" s="24"/>
      <c r="F42" s="24" t="s">
        <v>8</v>
      </c>
      <c r="G42" s="24"/>
      <c r="H42" s="24"/>
      <c r="J42" s="9" t="str">
        <f>IF($D$209,$D$209,"")</f>
        <v/>
      </c>
      <c r="K42" s="8" t="str">
        <f>IF(AND($H$212&lt;&gt;0,$D$212&lt;&gt;0),AVERAGE($D$212,$H$212),"")</f>
        <v/>
      </c>
      <c r="L42" s="14" t="str">
        <f>IF(OR($C$212&lt;&gt;0,$G$212&lt;&gt;0),SUM($C$212,$G$212),"")</f>
        <v/>
      </c>
      <c r="M42" s="6" t="s">
        <v>15</v>
      </c>
      <c r="N42" s="16"/>
    </row>
    <row r="43" spans="2:14" x14ac:dyDescent="0.25">
      <c r="B43" t="s">
        <v>0</v>
      </c>
      <c r="C43" t="s">
        <v>4</v>
      </c>
      <c r="D43" t="s">
        <v>9</v>
      </c>
      <c r="E43" t="s">
        <v>10</v>
      </c>
      <c r="F43" t="s">
        <v>0</v>
      </c>
      <c r="G43" t="s">
        <v>4</v>
      </c>
      <c r="H43" t="s">
        <v>9</v>
      </c>
      <c r="J43" s="9" t="str">
        <f>IF($D$215,$D$215,"")</f>
        <v/>
      </c>
      <c r="K43" s="8" t="str">
        <f>IF(AND($H$218&lt;&gt;0,$D$218&lt;&gt;0),AVERAGE($D$218,$H$218),"")</f>
        <v/>
      </c>
      <c r="L43" s="14" t="str">
        <f>IF(OR($C$218&lt;&gt;0,$G$218&lt;&gt;0),SUM($C$218,$G$218),"")</f>
        <v/>
      </c>
      <c r="M43" s="6" t="str">
        <f>IF(AND($H$228&lt;&gt;0,$D$218&lt;&gt;0),AVERAGE($D$218,$H$218),"")</f>
        <v/>
      </c>
      <c r="N43" s="16"/>
    </row>
    <row r="44" spans="2:14" x14ac:dyDescent="0.25">
      <c r="B44" t="str">
        <f>_xll.barchart.udfs.BEOSY(B$41,C$41,D$41,$E44,"C")</f>
        <v>TSLA|20220121|1010.00C</v>
      </c>
      <c r="C44" s="2">
        <f>_xll.BERTD($B44,C$43)</f>
        <v>102</v>
      </c>
      <c r="D44" s="4">
        <f>_xll.BERTD($B44,D$43)</f>
        <v>0.71870000000000001</v>
      </c>
      <c r="E44" s="5">
        <f>_xll.barchart.udfs.BEOST(B$41,C$41,D$41,F$41,0)</f>
        <v>1010</v>
      </c>
      <c r="F44" t="str">
        <f>_xll.barchart.udfs.BEOSY(B$41,C$41,D$41,$E44,"P")</f>
        <v>TSLA|20220121|1010.00P</v>
      </c>
      <c r="G44" s="2">
        <f>_xll.BERTD($F44,G$43)</f>
        <v>102.78</v>
      </c>
      <c r="H44" s="4">
        <f>_xll.BERTD($F44,H$43)</f>
        <v>0.71760000000000002</v>
      </c>
      <c r="J44" s="9" t="str">
        <f>IF($D$221,$D$221,"")</f>
        <v/>
      </c>
      <c r="K44" s="8" t="str">
        <f>IF(AND($H$224&lt;&gt;0,$D$224&lt;&gt;0),AVERAGE($D$224,$H$224),"")</f>
        <v/>
      </c>
      <c r="L44" s="14" t="str">
        <f>IF(OR($C$224&lt;&gt;0,$G$224&lt;&gt;0),SUM($C$224,$G$224),"")</f>
        <v/>
      </c>
      <c r="M44" s="6" t="str">
        <f>IF(AND($H$224&lt;&gt;0,$D$224&lt;&gt;0),AVERAGE($D$224,$H$224),"")</f>
        <v/>
      </c>
      <c r="N44" s="16"/>
    </row>
    <row r="45" spans="2:14" x14ac:dyDescent="0.25">
      <c r="J45" s="9" t="str">
        <f>IF($D$227,$D$227,"")</f>
        <v/>
      </c>
      <c r="K45" s="8" t="str">
        <f>IF(AND($H$230&lt;&gt;0,$D$230&lt;&gt;0),AVERAGE($D$230,$H$230),"")</f>
        <v/>
      </c>
      <c r="L45" s="14" t="str">
        <f>IF(OR($C$230&lt;&gt;0,$G$230&lt;&gt;0),SUM($C$230,$G$230),"")</f>
        <v/>
      </c>
      <c r="M45" s="6" t="str">
        <f>IF(AND($H$230&lt;&gt;0,$D$230&lt;&gt;0),AVERAGE($D$230,$H$230),"")</f>
        <v/>
      </c>
      <c r="N45" s="16"/>
    </row>
    <row r="46" spans="2:14" x14ac:dyDescent="0.25">
      <c r="B46" t="s">
        <v>0</v>
      </c>
      <c r="C46" t="s">
        <v>1</v>
      </c>
      <c r="D46" t="s">
        <v>2</v>
      </c>
      <c r="E46" t="s">
        <v>3</v>
      </c>
      <c r="F46" t="s">
        <v>4</v>
      </c>
      <c r="G46" t="s">
        <v>5</v>
      </c>
      <c r="J46" s="9" t="str">
        <f>IF($D$233,$D$233,"")</f>
        <v/>
      </c>
      <c r="K46" s="8" t="str">
        <f>IF(AND($H$236&lt;&gt;0,$D$236&lt;&gt;0),AVERAGE($D$236,$H$236),"")</f>
        <v/>
      </c>
      <c r="L46" s="14" t="str">
        <f>IF(OR($C$236&lt;&gt;0,$G$236&lt;&gt;0),SUM($C$236,$G$236),"")</f>
        <v/>
      </c>
      <c r="M46" s="6" t="str">
        <f>IF(AND($H$236&lt;&gt;0,$D$236&lt;&gt;0),AVERAGE($D$236,$H$236),"")</f>
        <v/>
      </c>
      <c r="N46" s="16"/>
    </row>
    <row r="47" spans="2:14" x14ac:dyDescent="0.25">
      <c r="B47" t="str">
        <f>_xll.barchart.udfs.BEOE("TSLA","AvailableNumberOfStrikes=1")</f>
        <v>TSLA</v>
      </c>
      <c r="C47" t="s">
        <v>6</v>
      </c>
      <c r="D47" s="1">
        <v>44610</v>
      </c>
      <c r="E47">
        <v>74</v>
      </c>
      <c r="F47">
        <f>_xll.BERTD(B$47,F$46)</f>
        <v>1009.01</v>
      </c>
      <c r="G47" s="3">
        <f>_xll.BERTD(B$47,G$46)</f>
        <v>44536.776145833333</v>
      </c>
      <c r="J47" s="9" t="str">
        <f>IF($D$239,$D$239,"")</f>
        <v/>
      </c>
      <c r="K47" s="8" t="str">
        <f>IF(AND($H$242&lt;&gt;0,$D$242&lt;&gt;0),AVERAGE($D$242,$H$242),"")</f>
        <v/>
      </c>
      <c r="L47" s="14" t="str">
        <f>IF(OR($C$242&lt;&gt;0,$G$242&lt;&gt;0),SUM($C$242,$G$242),"")</f>
        <v/>
      </c>
      <c r="M47" s="6" t="str">
        <f>IF(AND($H$242&lt;&gt;0,$D$242&lt;&gt;0),AVERAGE($D$242,$H$242),"")</f>
        <v/>
      </c>
      <c r="N47" s="16"/>
    </row>
    <row r="48" spans="2:14" x14ac:dyDescent="0.25">
      <c r="B48" s="24" t="s">
        <v>7</v>
      </c>
      <c r="C48" s="24"/>
      <c r="D48" s="24"/>
      <c r="F48" s="24" t="s">
        <v>8</v>
      </c>
      <c r="G48" s="24"/>
      <c r="H48" s="24"/>
      <c r="J48" s="9" t="str">
        <f>IF($D$245,$D$245,"")</f>
        <v/>
      </c>
      <c r="K48" s="8" t="str">
        <f>IF(AND($H$248&lt;&gt;0,$D$248&lt;&gt;0),AVERAGE($D$248,$H$248),"")</f>
        <v/>
      </c>
      <c r="L48" s="14" t="str">
        <f>IF(OR($C$248&lt;&gt;0,$G$248&lt;&gt;0),SUM($C$248,$G$248),"")</f>
        <v/>
      </c>
      <c r="M48" s="6" t="str">
        <f>IF(AND($H$248&lt;&gt;0,$D$248&lt;&gt;0),AVERAGE($D$248,$H$248),"")</f>
        <v/>
      </c>
      <c r="N48" s="16"/>
    </row>
    <row r="49" spans="2:14" x14ac:dyDescent="0.25">
      <c r="B49" t="s">
        <v>0</v>
      </c>
      <c r="C49" t="s">
        <v>4</v>
      </c>
      <c r="D49" t="s">
        <v>9</v>
      </c>
      <c r="E49" t="s">
        <v>10</v>
      </c>
      <c r="F49" t="s">
        <v>0</v>
      </c>
      <c r="G49" t="s">
        <v>4</v>
      </c>
      <c r="H49" t="s">
        <v>9</v>
      </c>
      <c r="J49" s="9" t="str">
        <f>IF($D$251,$D$251,"")</f>
        <v/>
      </c>
      <c r="K49" s="8" t="str">
        <f>IF(AND($H$254&lt;&gt;0,$D$254&lt;&gt;0),AVERAGE($D$254,$H$254),"")</f>
        <v/>
      </c>
      <c r="L49" s="14" t="str">
        <f>IF(OR($C$254&lt;&gt;0,$G$254&lt;&gt;0),SUM($C$254,$G$254),"")</f>
        <v/>
      </c>
      <c r="M49" s="6" t="str">
        <f>IF(AND($H$254&lt;&gt;0,$D$254&lt;&gt;0),AVERAGE($D$254,$H$254),"")</f>
        <v/>
      </c>
      <c r="N49" s="16"/>
    </row>
    <row r="50" spans="2:14" x14ac:dyDescent="0.25">
      <c r="B50" t="str">
        <f>_xll.barchart.udfs.BEOSY(B$47,C$47,D$47,$E50,"C")</f>
        <v>TSLA|20220218|1010.00C</v>
      </c>
      <c r="C50" s="2">
        <f>_xll.BERTD($B50,C$49)</f>
        <v>132.57</v>
      </c>
      <c r="D50" s="4">
        <f>_xll.BERTD($B50,D$49)</f>
        <v>0.73699999999999999</v>
      </c>
      <c r="E50" s="5">
        <f>_xll.barchart.udfs.BEOST(B$47,C$47,D$47,F$47,0)</f>
        <v>1010</v>
      </c>
      <c r="F50" t="str">
        <f>_xll.barchart.udfs.BEOSY(B$47,C$47,D$47,$E50,"P")</f>
        <v>TSLA|20220218|1010.00P</v>
      </c>
      <c r="G50" s="2">
        <f>_xll.BERTD($F50,G$49)</f>
        <v>134.05000000000001</v>
      </c>
      <c r="H50" s="4">
        <f>_xll.BERTD($F50,H$49)</f>
        <v>0.73140000000000005</v>
      </c>
      <c r="J50" s="9" t="str">
        <f>IF($D$257,$D$257,"")</f>
        <v/>
      </c>
      <c r="K50" s="8" t="str">
        <f>IF(AND($H$260&lt;&gt;0,$D$260&lt;&gt;0),AVERAGE($D$260,$H$260),"")</f>
        <v/>
      </c>
      <c r="L50" s="14" t="str">
        <f>IF(OR($C$260&lt;&gt;0,$G$260&lt;&gt;0),SUM($C$260,$G$260),"")</f>
        <v/>
      </c>
      <c r="M50" s="6" t="str">
        <f>IF(AND($H$260&lt;&gt;0,$D$260&lt;&gt;0),AVERAGE($D$260,$H$260),"")</f>
        <v/>
      </c>
      <c r="N50" s="16"/>
    </row>
    <row r="51" spans="2:14" x14ac:dyDescent="0.25">
      <c r="J51" s="9" t="str">
        <f>IF($D$263,$D$263,"")</f>
        <v/>
      </c>
      <c r="K51" s="8" t="str">
        <f>IF(AND($H$266&lt;&gt;0,$D$266&lt;&gt;0),AVERAGE($D$266,$H$266),"")</f>
        <v/>
      </c>
      <c r="L51" s="14" t="str">
        <f>IF(OR($C$266&lt;&gt;0,$G$266&lt;&gt;0),SUM($C$266,$G$266),"")</f>
        <v/>
      </c>
      <c r="M51" s="6" t="str">
        <f>IF(AND($H$266&lt;&gt;0,$D$266&lt;&gt;0),AVERAGE($D$266,$H$266),"")</f>
        <v/>
      </c>
      <c r="N51" s="16"/>
    </row>
    <row r="52" spans="2:14" x14ac:dyDescent="0.25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J52" s="9" t="str">
        <f>IF($D$269,$D$269,"")</f>
        <v/>
      </c>
      <c r="K52" s="8" t="str">
        <f>IF(AND($H$272&lt;&gt;0,$D$272&lt;&gt;0),AVERAGE($D$272,$H$272),"")</f>
        <v/>
      </c>
      <c r="L52" s="14" t="str">
        <f>IF(OR($C$272&lt;&gt;0,$G$272&lt;&gt;0),SUM($C$272,$G$272),"")</f>
        <v/>
      </c>
      <c r="M52" s="6" t="str">
        <f>IF(AND($H$272&lt;&gt;0,$D$272&lt;&gt;0),AVERAGE($D$272,$H$272),"")</f>
        <v/>
      </c>
      <c r="N52" s="16"/>
    </row>
    <row r="53" spans="2:14" x14ac:dyDescent="0.25">
      <c r="B53" t="str">
        <f>_xll.barchart.udfs.BEOE("TSLA","AvailableNumberOfStrikes=1")</f>
        <v>TSLA</v>
      </c>
      <c r="C53" t="s">
        <v>6</v>
      </c>
      <c r="D53" s="1">
        <v>44638</v>
      </c>
      <c r="E53">
        <v>101</v>
      </c>
      <c r="F53">
        <f>_xll.BERTD(B$53,F$52)</f>
        <v>1009.01</v>
      </c>
      <c r="G53" s="3">
        <f>_xll.BERTD(B$53,G$52)</f>
        <v>44536.776145833333</v>
      </c>
      <c r="J53" s="9" t="str">
        <f>IF($D$275,$D$275,"")</f>
        <v/>
      </c>
      <c r="K53" s="8" t="str">
        <f>IF(AND($H$278&lt;&gt;0,$D$278&lt;&gt;0),AVERAGE($D$278,$H$278),"")</f>
        <v/>
      </c>
      <c r="L53" s="14" t="str">
        <f>IF(OR($C$278&lt;&gt;0,$G$278&lt;&gt;0),SUM($C$278,$G$278),"")</f>
        <v/>
      </c>
      <c r="M53" s="6" t="str">
        <f>IF(AND($H$278&lt;&gt;0,$D$278&lt;&gt;0),AVERAGE($D$278,$H$278),"")</f>
        <v/>
      </c>
      <c r="N53" s="16"/>
    </row>
    <row r="54" spans="2:14" x14ac:dyDescent="0.25">
      <c r="B54" s="24" t="s">
        <v>7</v>
      </c>
      <c r="C54" s="24"/>
      <c r="D54" s="24"/>
      <c r="F54" s="24" t="s">
        <v>8</v>
      </c>
      <c r="G54" s="24"/>
      <c r="H54" s="24"/>
      <c r="J54" s="9" t="str">
        <f>IF($D$281,$D$281,"")</f>
        <v/>
      </c>
      <c r="K54" s="8" t="str">
        <f>IF(AND($H$284&lt;&gt;0,$D$284&lt;&gt;0),AVERAGE($D$284,$H$284),"")</f>
        <v/>
      </c>
      <c r="L54" s="14" t="str">
        <f>IF(OR($C$284&lt;&gt;0,$G$284&lt;&gt;0),SUM($C$284,$G$284),"")</f>
        <v/>
      </c>
      <c r="M54" s="6" t="str">
        <f>IF(AND($H$284&lt;&gt;0,$D$284&lt;&gt;0),AVERAGE($D$284,$H$284),"")</f>
        <v/>
      </c>
      <c r="N54" s="16"/>
    </row>
    <row r="55" spans="2:14" x14ac:dyDescent="0.25">
      <c r="B55" t="s">
        <v>0</v>
      </c>
      <c r="C55" t="s">
        <v>4</v>
      </c>
      <c r="D55" t="s">
        <v>9</v>
      </c>
      <c r="E55" t="s">
        <v>10</v>
      </c>
      <c r="F55" t="s">
        <v>0</v>
      </c>
      <c r="G55" t="s">
        <v>4</v>
      </c>
      <c r="H55" t="s">
        <v>9</v>
      </c>
      <c r="J55" s="9" t="str">
        <f>IF($D$287,$D$287,"")</f>
        <v/>
      </c>
      <c r="K55" s="8" t="str">
        <f>IF(AND($H$290&lt;&gt;0,$D$290&lt;&gt;0),AVERAGE($D$290,$H$290),"")</f>
        <v/>
      </c>
      <c r="L55" s="14" t="str">
        <f>IF(OR($C$290&lt;&gt;0,$G$290&lt;&gt;0),SUM($C$290,$G$290),"")</f>
        <v/>
      </c>
      <c r="M55" s="6" t="str">
        <f>IF(AND($H$290&lt;&gt;0,$D$290&lt;&gt;0),AVERAGE($D$290,$H$290),"")</f>
        <v/>
      </c>
      <c r="N55" s="16"/>
    </row>
    <row r="56" spans="2:14" x14ac:dyDescent="0.25">
      <c r="B56" t="str">
        <f>_xll.barchart.udfs.BEOSY(B$53,C$53,D$53,$E56,"C")</f>
        <v>TSLA|20220318|1010.00C</v>
      </c>
      <c r="C56" s="2">
        <f>_xll.BERTD($B56,C$55)</f>
        <v>150.4</v>
      </c>
      <c r="D56" s="4">
        <f>_xll.BERTD($B56,D$55)</f>
        <v>0.71619999999999995</v>
      </c>
      <c r="E56" s="5">
        <f>_xll.barchart.udfs.BEOST(B$53,C$53,D$53,F$53,0)</f>
        <v>1010</v>
      </c>
      <c r="F56" t="str">
        <f>_xll.barchart.udfs.BEOSY(B$53,C$53,D$53,$E56,"P")</f>
        <v>TSLA|20220318|1010.00P</v>
      </c>
      <c r="G56" s="2">
        <f>_xll.BERTD($F56,G$55)</f>
        <v>151.25</v>
      </c>
      <c r="H56" s="4">
        <f>_xll.BERTD($F56,H$55)</f>
        <v>0.71630000000000005</v>
      </c>
      <c r="J56" s="9" t="str">
        <f>IF($D$293,$D$293,"")</f>
        <v/>
      </c>
      <c r="K56" s="8" t="str">
        <f>IF(AND($H$296&lt;&gt;0,$D$296&lt;&gt;0),AVERAGE($D$296,$H$296),"")</f>
        <v/>
      </c>
      <c r="L56" s="14" t="str">
        <f>IF(OR($C$296&lt;&gt;0,$G$296&lt;&gt;0),SUM($C$296,$G$296),"")</f>
        <v/>
      </c>
      <c r="M56" s="6" t="str">
        <f>IF(AND($H$296&lt;&gt;0,$D$296&lt;&gt;0),AVERAGE($D$296,$H$296),"")</f>
        <v/>
      </c>
      <c r="N56" s="16"/>
    </row>
    <row r="57" spans="2:14" x14ac:dyDescent="0.25">
      <c r="J57" s="9" t="str">
        <f>IF($D$299,$D$299,"")</f>
        <v/>
      </c>
      <c r="K57" s="8" t="str">
        <f>IF(AND($H$302&lt;&gt;0,$D$302&lt;&gt;0),AVERAGE($D$302,$H$302),"")</f>
        <v/>
      </c>
      <c r="L57" s="14" t="str">
        <f>IF(OR($C$302&lt;&gt;0,$G$302&lt;&gt;0),SUM($C$302,$G$302),"")</f>
        <v/>
      </c>
      <c r="M57" s="6" t="str">
        <f>IF(AND($H$302&lt;&gt;0,$D$302&lt;&gt;0),AVERAGE($D$302,$H$302),"")</f>
        <v/>
      </c>
      <c r="N57" s="16"/>
    </row>
    <row r="58" spans="2:14" x14ac:dyDescent="0.25">
      <c r="B58" t="s">
        <v>0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J58" s="9" t="str">
        <f>IF($D$305,$D$305,"")</f>
        <v/>
      </c>
      <c r="K58" s="8" t="str">
        <f>IF(AND($H$308&lt;&gt;0,$D$308&lt;&gt;0),AVERAGE($D$308,$H$308),"")</f>
        <v/>
      </c>
      <c r="L58" s="14" t="str">
        <f>IF(OR($C$308&lt;&gt;0,$G$308&lt;&gt;0),SUM($C$308,$G$308),"")</f>
        <v/>
      </c>
      <c r="M58" s="6" t="str">
        <f>IF(AND($H$308&lt;&gt;0,$D$308&lt;&gt;0),AVERAGE($D$308,$H$308),"")</f>
        <v/>
      </c>
      <c r="N58" s="16"/>
    </row>
    <row r="59" spans="2:14" x14ac:dyDescent="0.25">
      <c r="B59" t="str">
        <f>_xll.barchart.udfs.BEOE("TSLA","AvailableNumberOfStrikes=1")</f>
        <v>TSLA</v>
      </c>
      <c r="C59" t="s">
        <v>6</v>
      </c>
      <c r="D59" s="1">
        <v>44665</v>
      </c>
      <c r="E59">
        <v>128</v>
      </c>
      <c r="F59">
        <f>_xll.BERTD(B$59,F$58)</f>
        <v>1009.01</v>
      </c>
      <c r="G59" s="3">
        <f>_xll.BERTD(B$59,G$58)</f>
        <v>44536.776145833333</v>
      </c>
      <c r="J59" s="9" t="str">
        <f>IF($D$311,$D$311,"")</f>
        <v/>
      </c>
      <c r="K59" s="8" t="str">
        <f>IF(AND($H$314&lt;&gt;0,$D$314&lt;&gt;0),AVERAGE($D$314,$H$314),"")</f>
        <v/>
      </c>
      <c r="L59" s="14" t="str">
        <f>IF(OR($C$314&lt;&gt;0,$G$314&lt;&gt;0),SUM($C$314,$G$314),"")</f>
        <v/>
      </c>
      <c r="M59" s="6" t="str">
        <f>IF(AND($H$314&lt;&gt;0,$D$314&lt;&gt;0),AVERAGE($D$314,$H$314),"")</f>
        <v/>
      </c>
      <c r="N59" s="16"/>
    </row>
    <row r="60" spans="2:14" x14ac:dyDescent="0.25">
      <c r="B60" s="24" t="s">
        <v>7</v>
      </c>
      <c r="C60" s="24"/>
      <c r="D60" s="24"/>
      <c r="F60" s="24" t="s">
        <v>8</v>
      </c>
      <c r="G60" s="24"/>
      <c r="H60" s="24"/>
      <c r="J60" s="9" t="str">
        <f>IF($D$317,$D$317,"")</f>
        <v/>
      </c>
      <c r="K60" s="8" t="str">
        <f>IF(AND($H$320&lt;&gt;0,$D$320&lt;&gt;0),AVERAGE($D$320,$H$320),"")</f>
        <v/>
      </c>
      <c r="L60" s="14" t="str">
        <f>IF(OR($C$320&lt;&gt;0,$G$320&lt;&gt;0),SUM($C$320,$G$320),"")</f>
        <v/>
      </c>
      <c r="M60" s="6" t="str">
        <f>IF(AND($H$320&lt;&gt;0,$D$320&lt;&gt;0),AVERAGE($D$320,$H$320),"")</f>
        <v/>
      </c>
      <c r="N60" s="16"/>
    </row>
    <row r="61" spans="2:14" x14ac:dyDescent="0.25">
      <c r="B61" t="s">
        <v>0</v>
      </c>
      <c r="C61" t="s">
        <v>4</v>
      </c>
      <c r="D61" t="s">
        <v>9</v>
      </c>
      <c r="E61" t="s">
        <v>10</v>
      </c>
      <c r="F61" t="s">
        <v>0</v>
      </c>
      <c r="G61" t="s">
        <v>4</v>
      </c>
      <c r="H61" t="s">
        <v>9</v>
      </c>
      <c r="J61" s="9" t="str">
        <f>IF($D$323,$D$323,"")</f>
        <v/>
      </c>
      <c r="K61" s="8" t="str">
        <f>IF(AND($H$326&lt;&gt;0,$D$326&lt;&gt;0),AVERAGE($D$326,$H$326),"")</f>
        <v/>
      </c>
      <c r="L61" s="14" t="str">
        <f>IF(OR($C$326&lt;&gt;0,$G$326&lt;&gt;0),SUM($C$326,$G$326),"")</f>
        <v/>
      </c>
      <c r="M61" s="6" t="str">
        <f>IF(AND($H$326&lt;&gt;0,$D$326&lt;&gt;0),AVERAGE($D$326,$H$326),"")</f>
        <v/>
      </c>
      <c r="N61" s="16"/>
    </row>
    <row r="62" spans="2:14" x14ac:dyDescent="0.25">
      <c r="B62" t="str">
        <f>_xll.barchart.udfs.BEOSY(B$59,C$59,D$59,$E62,"C")</f>
        <v>TSLA|20220414|1000.00C</v>
      </c>
      <c r="C62" s="2">
        <f>_xll.BERTD($B62,C$61)</f>
        <v>170.65</v>
      </c>
      <c r="D62" s="4">
        <f>_xll.BERTD($B62,D$61)</f>
        <v>0.70469999999999999</v>
      </c>
      <c r="E62" s="5">
        <f>_xll.barchart.udfs.BEOST(B$59,C$59,D$59,F$59,0)</f>
        <v>1000</v>
      </c>
      <c r="F62" t="str">
        <f>_xll.barchart.udfs.BEOSY(B$59,C$59,D$59,$E62,"P")</f>
        <v>TSLA|20220414|1000.00P</v>
      </c>
      <c r="G62" s="2">
        <f>_xll.BERTD($F62,G$61)</f>
        <v>160.69999999999999</v>
      </c>
      <c r="H62" s="4">
        <f>_xll.BERTD($F62,H$61)</f>
        <v>0.70150000000000001</v>
      </c>
      <c r="J62" s="9" t="str">
        <f>IF($D$329,$D$329,"")</f>
        <v/>
      </c>
      <c r="K62" s="8" t="str">
        <f>IF(AND($H$332&lt;&gt;0,$D$332&lt;&gt;0),AVERAGE($D$332,$H$332),"")</f>
        <v/>
      </c>
      <c r="L62" s="14" t="str">
        <f>IF(OR($C$332&lt;&gt;0,$G$332&lt;&gt;0),SUM($C$332,$G$332),"")</f>
        <v/>
      </c>
      <c r="M62" s="6" t="str">
        <f>IF(AND($H$332&lt;&gt;0,$D$332&lt;&gt;0),AVERAGE($D$332,$H$332),"")</f>
        <v/>
      </c>
      <c r="N62" s="16"/>
    </row>
    <row r="63" spans="2:14" x14ac:dyDescent="0.25">
      <c r="J63" s="9" t="str">
        <f>IF($D$335,$D$335,"")</f>
        <v/>
      </c>
      <c r="K63" s="8" t="str">
        <f>IF(AND($H$338&lt;&gt;0,$D$338&lt;&gt;0),AVERAGE($D$338,$H$338),"")</f>
        <v/>
      </c>
      <c r="L63" s="14" t="str">
        <f>IF(OR($C$338&lt;&gt;0,$G$338&lt;&gt;0),SUM($C$338,$G$338),"")</f>
        <v/>
      </c>
      <c r="M63" s="6" t="str">
        <f>IF(AND($H$338&lt;&gt;0,$D$338&lt;&gt;0),AVERAGE($D$338,$H$338),"")</f>
        <v/>
      </c>
      <c r="N63" s="16"/>
    </row>
    <row r="64" spans="2:14" x14ac:dyDescent="0.25"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J64" s="9" t="str">
        <f>IF($D$341,$D$341,"")</f>
        <v/>
      </c>
      <c r="K64" s="8" t="str">
        <f>IF(AND($H$344&lt;&gt;0,$D$344&lt;&gt;0),AVERAGE($D$344,$H$344),"")</f>
        <v/>
      </c>
      <c r="L64" s="14" t="str">
        <f>IF(OR($C$344&lt;&gt;0,$G$344&lt;&gt;0),SUM($C$344,$G$344),"")</f>
        <v/>
      </c>
      <c r="M64" s="6" t="str">
        <f>IF(AND($H$344&lt;&gt;0,$D$344&lt;&gt;0),AVERAGE($D$344,$H$344),"")</f>
        <v/>
      </c>
      <c r="N64" s="16"/>
    </row>
    <row r="65" spans="2:14" x14ac:dyDescent="0.25">
      <c r="B65" t="str">
        <f>_xll.barchart.udfs.BEOE("TSLA","AvailableNumberOfStrikes=1")</f>
        <v>TSLA</v>
      </c>
      <c r="C65" t="s">
        <v>6</v>
      </c>
      <c r="D65" s="1">
        <v>44701</v>
      </c>
      <c r="E65">
        <v>164</v>
      </c>
      <c r="F65">
        <f>_xll.BERTD(B$65,F$64)</f>
        <v>1009.01</v>
      </c>
      <c r="G65" s="3">
        <f>_xll.BERTD(B$65,G$64)</f>
        <v>44536.776145833333</v>
      </c>
      <c r="J65" s="9" t="str">
        <f>IF($D$347,$D$347,"")</f>
        <v/>
      </c>
      <c r="K65" s="8" t="str">
        <f>IF(AND($H$350&lt;&gt;0,$D$350&lt;&gt;0),AVERAGE($D$350,$H$350),"")</f>
        <v/>
      </c>
      <c r="L65" s="14" t="str">
        <f>IF(OR($C$350&lt;&gt;0,$G$350&lt;&gt;0),SUM($C$350,$G$350),"")</f>
        <v/>
      </c>
      <c r="M65" s="6" t="str">
        <f>IF(AND($H$350&lt;&gt;0,$D$350&lt;&gt;0),AVERAGE($D$350,$H$350),"")</f>
        <v/>
      </c>
      <c r="N65" s="16"/>
    </row>
    <row r="66" spans="2:14" x14ac:dyDescent="0.25">
      <c r="B66" s="24" t="s">
        <v>7</v>
      </c>
      <c r="C66" s="24"/>
      <c r="D66" s="24"/>
      <c r="F66" s="24" t="s">
        <v>8</v>
      </c>
      <c r="G66" s="24"/>
      <c r="H66" s="24"/>
      <c r="J66" s="9" t="str">
        <f>IF($D$353,$D$353,"")</f>
        <v/>
      </c>
      <c r="K66" s="8" t="str">
        <f>IF(AND($H$356&lt;&gt;0,$D$356&lt;&gt;0),AVERAGE($D$356,$H$356),"")</f>
        <v/>
      </c>
      <c r="L66" s="14" t="str">
        <f>IF(OR($C$356&lt;&gt;0,$G$356&lt;&gt;0),SUM($C$356,$G$356),"")</f>
        <v/>
      </c>
      <c r="M66" s="6" t="str">
        <f>IF(AND($H$356&lt;&gt;0,$D$356&lt;&gt;0),AVERAGE($D$356,$H$356),"")</f>
        <v/>
      </c>
      <c r="N66" s="16"/>
    </row>
    <row r="67" spans="2:14" x14ac:dyDescent="0.25">
      <c r="B67" t="s">
        <v>0</v>
      </c>
      <c r="C67" t="s">
        <v>4</v>
      </c>
      <c r="D67" t="s">
        <v>9</v>
      </c>
      <c r="E67" t="s">
        <v>10</v>
      </c>
      <c r="F67" t="s">
        <v>0</v>
      </c>
      <c r="G67" t="s">
        <v>4</v>
      </c>
      <c r="H67" t="s">
        <v>9</v>
      </c>
      <c r="J67" s="9" t="str">
        <f>IF($D$359,$D$359,"")</f>
        <v/>
      </c>
      <c r="K67" s="8" t="str">
        <f>IF(AND($H$362&lt;&gt;0,$D$362&lt;&gt;0),AVERAGE($D$362,$H$362),"")</f>
        <v/>
      </c>
      <c r="L67" s="14" t="str">
        <f>IF(OR($C$362&lt;&gt;0,$G$362&lt;&gt;0),SUM($C$362,$G$362),"")</f>
        <v/>
      </c>
      <c r="M67" s="6" t="str">
        <f>IF(AND($H$362&lt;&gt;0,$D$362&lt;&gt;0),AVERAGE($D$362,$H$362),"")</f>
        <v/>
      </c>
      <c r="N67" s="16"/>
    </row>
    <row r="68" spans="2:14" x14ac:dyDescent="0.25">
      <c r="B68" t="str">
        <f>_xll.barchart.udfs.BEOSY(B$65,C$65,D$65,$E68,"C")</f>
        <v>TSLA|20220520|1000.00C</v>
      </c>
      <c r="C68" s="2">
        <f>_xll.BERTD($B68,C$67)</f>
        <v>189.52</v>
      </c>
      <c r="D68" s="4">
        <f>_xll.BERTD($B68,D$67)</f>
        <v>0.70189999999999997</v>
      </c>
      <c r="E68" s="5">
        <f>_xll.barchart.udfs.BEOST(B$65,C$65,D$65,F$65,0)</f>
        <v>1000</v>
      </c>
      <c r="F68" t="str">
        <f>_xll.barchart.udfs.BEOSY(B$65,C$65,D$65,$E68,"P")</f>
        <v>TSLA|20220520|1000.00P</v>
      </c>
      <c r="G68" s="2">
        <f>_xll.BERTD($F68,G$67)</f>
        <v>180.9</v>
      </c>
      <c r="H68" s="4">
        <f>_xll.BERTD($F68,H$67)</f>
        <v>0.69259999999999999</v>
      </c>
      <c r="J68" s="9" t="str">
        <f>IF($D$365,$D$365,"")</f>
        <v/>
      </c>
      <c r="K68" s="8" t="str">
        <f>IF(AND($H$368&lt;&gt;0,$D$368&lt;&gt;0),AVERAGE($D$368,$H$368),"")</f>
        <v/>
      </c>
      <c r="L68" s="14" t="str">
        <f>IF(OR($C$368&lt;&gt;0,$G$368&lt;&gt;0),SUM($C$368,$G$368),"")</f>
        <v/>
      </c>
      <c r="M68" s="6" t="str">
        <f>IF(AND($H$368&lt;&gt;0,$D$368&lt;&gt;0),AVERAGE($D$368,$H$368),"")</f>
        <v/>
      </c>
      <c r="N68" s="16"/>
    </row>
    <row r="69" spans="2:14" x14ac:dyDescent="0.25">
      <c r="J69" s="9" t="str">
        <f>IF($D$371,$D$371,"")</f>
        <v/>
      </c>
      <c r="K69" s="8" t="str">
        <f>IF(AND($H$374&lt;&gt;0,$D$374&lt;&gt;0),AVERAGE($D$374,$H$374),"")</f>
        <v/>
      </c>
      <c r="L69" s="14" t="str">
        <f>IF(OR($C$374&lt;&gt;0,$G$374&lt;&gt;0),SUM($C$374,$G$374),"")</f>
        <v/>
      </c>
      <c r="M69" s="6" t="str">
        <f>IF(AND($H$374&lt;&gt;0,$D$374&lt;&gt;0),AVERAGE($D$374,$H$374),"")</f>
        <v/>
      </c>
      <c r="N69" s="16"/>
    </row>
    <row r="70" spans="2:14" x14ac:dyDescent="0.25">
      <c r="B70" t="s">
        <v>0</v>
      </c>
      <c r="C70" t="s">
        <v>1</v>
      </c>
      <c r="D70" t="s">
        <v>2</v>
      </c>
      <c r="E70" t="s">
        <v>3</v>
      </c>
      <c r="F70" t="s">
        <v>4</v>
      </c>
      <c r="G70" t="s">
        <v>5</v>
      </c>
      <c r="J70" s="9" t="str">
        <f>IF($D$377,$D$377,"")</f>
        <v/>
      </c>
      <c r="K70" s="8" t="str">
        <f>IF(AND($H$380&lt;&gt;0,$D$380&lt;&gt;0),AVERAGE($D$380,$H$380),"")</f>
        <v/>
      </c>
      <c r="L70" s="14" t="str">
        <f>IF(OR($C$380&lt;&gt;0,$G$380&lt;&gt;0),SUM($C$380,$G$380),"")</f>
        <v/>
      </c>
      <c r="M70" s="6" t="str">
        <f>IF(AND($H$380&lt;&gt;0,$D$380&lt;&gt;0),AVERAGE($D$380,$H$380),"")</f>
        <v/>
      </c>
      <c r="N70" s="16"/>
    </row>
    <row r="71" spans="2:14" x14ac:dyDescent="0.25">
      <c r="B71" t="str">
        <f>_xll.barchart.udfs.BEOE("TSLA","AvailableNumberOfStrikes=1")</f>
        <v>TSLA</v>
      </c>
      <c r="C71" t="s">
        <v>6</v>
      </c>
      <c r="D71" s="1">
        <v>44729</v>
      </c>
      <c r="E71">
        <v>192</v>
      </c>
      <c r="F71">
        <f>_xll.BERTD(B$71,F$70)</f>
        <v>1009.01</v>
      </c>
      <c r="G71" s="3">
        <f>_xll.BERTD(B$71,G$70)</f>
        <v>44536.776145833333</v>
      </c>
      <c r="J71" s="9" t="str">
        <f>IF($D$381,$D$381,"")</f>
        <v/>
      </c>
      <c r="K71" s="8" t="str">
        <f>IF(AND($H$386&lt;&gt;0,$D$386&lt;&gt;0),AVERAGE($D$386,$H$386),"")</f>
        <v/>
      </c>
      <c r="L71" s="14" t="str">
        <f>IF(OR($C$386&lt;&gt;0,$G$386&lt;&gt;0),SUM($C$386,$G$386),"")</f>
        <v/>
      </c>
      <c r="M71" s="6" t="str">
        <f>IF(AND($H$386&lt;&gt;0,$D$386&lt;&gt;0),AVERAGE($D$386,$H$386),"")</f>
        <v/>
      </c>
      <c r="N71" s="16"/>
    </row>
    <row r="72" spans="2:14" x14ac:dyDescent="0.25">
      <c r="B72" s="24" t="s">
        <v>7</v>
      </c>
      <c r="C72" s="24"/>
      <c r="D72" s="24"/>
      <c r="F72" s="24" t="s">
        <v>8</v>
      </c>
      <c r="G72" s="24"/>
      <c r="H72" s="24"/>
      <c r="J72" s="9" t="str">
        <f>IF($D$389,$D$389,"")</f>
        <v/>
      </c>
      <c r="K72" s="8" t="str">
        <f>IF(AND($H$392&lt;&gt;0,$D$392&lt;&gt;0),AVERAGE($D$392,$H$392),"")</f>
        <v/>
      </c>
      <c r="L72" s="14" t="str">
        <f>IF(OR($C$392&lt;&gt;0,$G$392&lt;&gt;0),SUM($C$392,$G$392),"")</f>
        <v/>
      </c>
      <c r="M72" s="6" t="str">
        <f>IF(AND($H$392&lt;&gt;0,$D$392&lt;&gt;0),AVERAGE($D$392,$H$392),"")</f>
        <v/>
      </c>
      <c r="N72" s="16"/>
    </row>
    <row r="73" spans="2:14" x14ac:dyDescent="0.25">
      <c r="B73" t="s">
        <v>0</v>
      </c>
      <c r="C73" t="s">
        <v>4</v>
      </c>
      <c r="D73" t="s">
        <v>9</v>
      </c>
      <c r="E73" t="s">
        <v>10</v>
      </c>
      <c r="F73" t="s">
        <v>0</v>
      </c>
      <c r="G73" t="s">
        <v>4</v>
      </c>
      <c r="H73" t="s">
        <v>9</v>
      </c>
      <c r="J73" s="9" t="str">
        <f>IF($D$395,$D$395,"")</f>
        <v/>
      </c>
      <c r="K73" s="8" t="str">
        <f>IF(AND($H$398&lt;&gt;0,$D$398&lt;&gt;0),AVERAGE($D$398,$H$398),"")</f>
        <v/>
      </c>
      <c r="L73" s="14" t="str">
        <f>IF(OR($C$398&lt;&gt;0,$G$398&lt;&gt;0),SUM($C$398,$G$398),"")</f>
        <v/>
      </c>
      <c r="M73" s="6" t="str">
        <f>IF(AND($H$398&lt;&gt;0,$D$398&lt;&gt;0),AVERAGE($D$398,$H$398),"")</f>
        <v/>
      </c>
      <c r="N73" s="16"/>
    </row>
    <row r="74" spans="2:14" x14ac:dyDescent="0.25">
      <c r="B74" t="str">
        <f>_xll.barchart.udfs.BEOSY(B$71,C$71,D$71,$E74,"C")</f>
        <v>TSLA|20220617|1000.00C</v>
      </c>
      <c r="C74" s="2">
        <f>_xll.BERTD($B74,C$73)</f>
        <v>202.25</v>
      </c>
      <c r="D74" s="4">
        <f>_xll.BERTD($B74,D$73)</f>
        <v>0.68669999999999998</v>
      </c>
      <c r="E74" s="5">
        <f>_xll.barchart.udfs.BEOST(B$71,C$71,D$71,F$71,0)</f>
        <v>1000</v>
      </c>
      <c r="F74" t="str">
        <f>_xll.barchart.udfs.BEOSY(B$71,C$71,D$71,$E74,"P")</f>
        <v>TSLA|20220617|1000.00P</v>
      </c>
      <c r="G74" s="2">
        <f>_xll.BERTD($F74,G$73)</f>
        <v>192.4</v>
      </c>
      <c r="H74" s="4">
        <f>_xll.BERTD($F74,H$73)</f>
        <v>0.68520000000000003</v>
      </c>
      <c r="J74" s="9" t="str">
        <f>IF($D$401,$D$401,"")</f>
        <v/>
      </c>
      <c r="K74" s="8" t="str">
        <f>IF(AND($H$404&lt;&gt;0,$D$404&lt;&gt;0),AVERAGE($D$404,$H$404),"")</f>
        <v/>
      </c>
      <c r="L74" s="14" t="str">
        <f>IF(OR($C$404&lt;&gt;0,$G$404&lt;&gt;0),SUM($C$404,$G$404),"")</f>
        <v/>
      </c>
      <c r="M74" s="6" t="str">
        <f>IF(AND($H$404&lt;&gt;0,$D$404&lt;&gt;0),AVERAGE($D$404,$H$404),"")</f>
        <v/>
      </c>
      <c r="N74" s="16"/>
    </row>
    <row r="75" spans="2:14" x14ac:dyDescent="0.25">
      <c r="J75" s="9" t="str">
        <f>IF($D$407,$D$407,"")</f>
        <v/>
      </c>
      <c r="K75" s="8" t="str">
        <f>IF(AND($H$410&lt;&gt;0,$D$410&lt;&gt;0),AVERAGE($D$410,$H$410),"")</f>
        <v/>
      </c>
      <c r="L75" s="14" t="str">
        <f>IF(OR($C$410&lt;&gt;0,$G$410&lt;&gt;0),SUM($C$410,$G$410),"")</f>
        <v/>
      </c>
      <c r="M75" s="6" t="str">
        <f>IF(AND($H$410&lt;&gt;0,$D$410&lt;&gt;0),AVERAGE($D$410,$H$410),"")</f>
        <v/>
      </c>
      <c r="N75" s="16"/>
    </row>
    <row r="76" spans="2:14" x14ac:dyDescent="0.25">
      <c r="B76" t="s">
        <v>0</v>
      </c>
      <c r="C76" t="s">
        <v>1</v>
      </c>
      <c r="D76" t="s">
        <v>2</v>
      </c>
      <c r="E76" t="s">
        <v>3</v>
      </c>
      <c r="F76" t="s">
        <v>4</v>
      </c>
      <c r="G76" t="s">
        <v>5</v>
      </c>
      <c r="J76" s="9" t="str">
        <f>IF($D$413,$D$413,"")</f>
        <v/>
      </c>
      <c r="K76" s="8" t="str">
        <f>IF(AND($H$416&lt;&gt;0,$D$416&lt;&gt;0),AVERAGE($D$416,$H$416),"")</f>
        <v/>
      </c>
      <c r="L76" s="14" t="str">
        <f>IF(OR($C$416&lt;&gt;0,$G$416&lt;&gt;0),SUM($C$416,$G$416),"")</f>
        <v/>
      </c>
      <c r="M76" s="6" t="str">
        <f>IF(AND($H$416&lt;&gt;0,$D$416&lt;&gt;0),AVERAGE($D$416,$H$416),"")</f>
        <v/>
      </c>
      <c r="N76" s="16"/>
    </row>
    <row r="77" spans="2:14" x14ac:dyDescent="0.25">
      <c r="B77" t="str">
        <f>_xll.barchart.udfs.BEOE("TSLA","AvailableNumberOfStrikes=1")</f>
        <v>TSLA</v>
      </c>
      <c r="C77" t="s">
        <v>6</v>
      </c>
      <c r="D77" s="1">
        <v>44757</v>
      </c>
      <c r="E77">
        <v>220</v>
      </c>
      <c r="F77">
        <f>_xll.BERTD(B$77,F$76)</f>
        <v>1009.01</v>
      </c>
      <c r="G77" s="3">
        <f>_xll.BERTD(B$77,G$76)</f>
        <v>44536.776145833333</v>
      </c>
      <c r="J77" s="9" t="str">
        <f>IF($D$419,$D$419,"")</f>
        <v/>
      </c>
      <c r="K77" s="8" t="str">
        <f>IF(AND($H$422&lt;&gt;0,$D$422&lt;&gt;0),AVERAGE($D$422,$H$422),"")</f>
        <v/>
      </c>
      <c r="L77" s="14" t="str">
        <f>IF(OR($C$422&lt;&gt;0,$G$422&lt;&gt;0),SUM($C$422,$G$422),"")</f>
        <v/>
      </c>
      <c r="M77" s="6" t="str">
        <f>IF(AND($H$422&lt;&gt;0,$D$422&lt;&gt;0),AVERAGE($D$422,$H$422),"")</f>
        <v/>
      </c>
      <c r="N77" s="16"/>
    </row>
    <row r="78" spans="2:14" x14ac:dyDescent="0.25">
      <c r="B78" s="24" t="s">
        <v>7</v>
      </c>
      <c r="C78" s="24"/>
      <c r="D78" s="24"/>
      <c r="F78" s="24" t="s">
        <v>8</v>
      </c>
      <c r="G78" s="24"/>
      <c r="H78" s="24"/>
      <c r="J78" s="9" t="str">
        <f>IF($D$425,$D$425,"")</f>
        <v/>
      </c>
      <c r="K78" s="8" t="str">
        <f>IF(AND($H$428&lt;&gt;0,$D$428&lt;&gt;0),AVERAGE($D$428,$H$428),"")</f>
        <v/>
      </c>
      <c r="L78" s="14" t="str">
        <f>IF(OR($C$428&lt;&gt;0,$G$428&lt;&gt;0),SUM($C$428,$G$428),"")</f>
        <v/>
      </c>
      <c r="M78" s="6" t="str">
        <f>IF(AND($H$428&lt;&gt;0,$D$428&lt;&gt;0),AVERAGE($D$428,$H$428),"")</f>
        <v/>
      </c>
      <c r="N78" s="16"/>
    </row>
    <row r="79" spans="2:14" x14ac:dyDescent="0.25">
      <c r="B79" t="s">
        <v>0</v>
      </c>
      <c r="C79" t="s">
        <v>4</v>
      </c>
      <c r="D79" t="s">
        <v>9</v>
      </c>
      <c r="E79" t="s">
        <v>10</v>
      </c>
      <c r="F79" t="s">
        <v>0</v>
      </c>
      <c r="G79" t="s">
        <v>4</v>
      </c>
      <c r="H79" t="s">
        <v>9</v>
      </c>
      <c r="J79" s="9" t="str">
        <f>IF($D$431,$D$431,"")</f>
        <v/>
      </c>
      <c r="K79" s="8" t="str">
        <f>IF(AND($H$434&lt;&gt;0,$D$434&lt;&gt;0),AVERAGE($D$434,$H$434),"")</f>
        <v/>
      </c>
      <c r="L79" s="14" t="str">
        <f>IF(OR($C$434&lt;&gt;0,$G$434&lt;&gt;0),SUM($C$434,$G$434),"")</f>
        <v/>
      </c>
      <c r="M79" s="6" t="str">
        <f>IF(AND($H$434&lt;&gt;0,$D$434&lt;&gt;0),AVERAGE($D$434,$H$434),"")</f>
        <v/>
      </c>
      <c r="N79" s="16"/>
    </row>
    <row r="80" spans="2:14" x14ac:dyDescent="0.25">
      <c r="B80" t="str">
        <f>_xll.barchart.udfs.BEOSY(B$77,C$77,D$77,$E80,"C")</f>
        <v>TSLA|20220715|1000.00C</v>
      </c>
      <c r="C80" s="2">
        <f>_xll.BERTD($B80,C$79)</f>
        <v>222</v>
      </c>
      <c r="D80" s="4">
        <f>_xll.BERTD($B80,D$79)</f>
        <v>0.70709999999999995</v>
      </c>
      <c r="E80" s="5">
        <f>_xll.barchart.udfs.BEOST(B$77,C$77,D$77,F$77,0)</f>
        <v>1000</v>
      </c>
      <c r="F80" t="str">
        <f>_xll.barchart.udfs.BEOSY(B$77,C$77,D$77,$E80,"P")</f>
        <v>TSLA|20220715|1000.00P</v>
      </c>
      <c r="G80" s="2">
        <f>_xll.BERTD($F80,G$79)</f>
        <v>205.73</v>
      </c>
      <c r="H80" s="4">
        <f>_xll.BERTD($F80,H$79)</f>
        <v>0.68459999999999999</v>
      </c>
      <c r="J80" s="9" t="str">
        <f>IF($D$437,$D$437,"")</f>
        <v/>
      </c>
      <c r="K80" s="8" t="str">
        <f>IF(AND($H$440&lt;&gt;0,$D$440&lt;&gt;0),AVERAGE($D$440,$H$440),"")</f>
        <v/>
      </c>
      <c r="L80" s="14" t="str">
        <f>IF(OR($C$440&lt;&gt;0,$G$440&lt;&gt;0),SUM($C$440,$G$440),"")</f>
        <v/>
      </c>
      <c r="M80" s="6" t="str">
        <f>IF(AND($H$440&lt;&gt;0,$D$440&lt;&gt;0),AVERAGE($D$440,$H$440),"")</f>
        <v/>
      </c>
      <c r="N80" s="16"/>
    </row>
    <row r="81" spans="2:14" x14ac:dyDescent="0.25">
      <c r="J81" s="9" t="str">
        <f>IF($D$443,$D$443,"")</f>
        <v/>
      </c>
      <c r="K81" s="8" t="str">
        <f>IF(AND($H$446&lt;&gt;0,$D$446&lt;&gt;0),AVERAGE($D$446,$H$446),"")</f>
        <v/>
      </c>
      <c r="L81" s="14" t="str">
        <f>IF(OR($C$446&lt;&gt;0,$G$446&lt;&gt;0),SUM($C$446,$G$446),"")</f>
        <v/>
      </c>
      <c r="M81" s="6" t="str">
        <f>IF(AND($H$446&lt;&gt;0,$D$446&lt;&gt;0),AVERAGE($D$446,$H$446),"")</f>
        <v/>
      </c>
      <c r="N81" s="16"/>
    </row>
    <row r="82" spans="2:14" x14ac:dyDescent="0.25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</row>
    <row r="83" spans="2:14" x14ac:dyDescent="0.25">
      <c r="B83" t="str">
        <f>_xll.barchart.udfs.BEOE("TSLA","AvailableNumberOfStrikes=1")</f>
        <v>TSLA</v>
      </c>
      <c r="C83" t="s">
        <v>6</v>
      </c>
      <c r="D83" s="1">
        <v>44820</v>
      </c>
      <c r="E83">
        <v>283</v>
      </c>
      <c r="F83">
        <f>_xll.BERTD(B$83,F$82)</f>
        <v>1009.01</v>
      </c>
      <c r="G83" s="3">
        <f>_xll.BERTD(B$83,G$82)</f>
        <v>44536.776145833333</v>
      </c>
    </row>
    <row r="84" spans="2:14" x14ac:dyDescent="0.25">
      <c r="B84" s="24" t="s">
        <v>7</v>
      </c>
      <c r="C84" s="24"/>
      <c r="D84" s="24"/>
      <c r="F84" s="24" t="s">
        <v>8</v>
      </c>
      <c r="G84" s="24"/>
      <c r="H84" s="24"/>
    </row>
    <row r="85" spans="2:14" x14ac:dyDescent="0.25">
      <c r="B85" t="s">
        <v>0</v>
      </c>
      <c r="C85" t="s">
        <v>4</v>
      </c>
      <c r="D85" t="s">
        <v>9</v>
      </c>
      <c r="E85" t="s">
        <v>10</v>
      </c>
      <c r="F85" t="s">
        <v>0</v>
      </c>
      <c r="G85" t="s">
        <v>4</v>
      </c>
      <c r="H85" t="s">
        <v>9</v>
      </c>
    </row>
    <row r="86" spans="2:14" x14ac:dyDescent="0.25">
      <c r="B86" t="str">
        <f>_xll.barchart.udfs.BEOSY(B$83,C$83,D$83,$E86,"C")</f>
        <v>TSLA|20220916|1000.00C</v>
      </c>
      <c r="C86" s="2">
        <f>_xll.BERTD($B86,C$85)</f>
        <v>229.8</v>
      </c>
      <c r="D86" s="4">
        <f>_xll.BERTD($B86,D$85)</f>
        <v>0.67689999999999995</v>
      </c>
      <c r="E86" s="5">
        <f>_xll.barchart.udfs.BEOST(B$83,C$83,D$83,F$83,0)</f>
        <v>1000</v>
      </c>
      <c r="F86" t="str">
        <f>_xll.barchart.udfs.BEOSY(B$83,C$83,D$83,$E86,"P")</f>
        <v>TSLA|20220916|1000.00P</v>
      </c>
      <c r="G86" s="2">
        <f>_xll.BERTD($F86,G$85)</f>
        <v>225</v>
      </c>
      <c r="H86" s="4">
        <f>_xll.BERTD($F86,H$85)</f>
        <v>0.66059999999999997</v>
      </c>
    </row>
    <row r="88" spans="2:14" x14ac:dyDescent="0.25">
      <c r="B88" t="s">
        <v>0</v>
      </c>
      <c r="C88" t="s">
        <v>1</v>
      </c>
      <c r="D88" t="s">
        <v>2</v>
      </c>
      <c r="E88" t="s">
        <v>3</v>
      </c>
      <c r="F88" t="s">
        <v>4</v>
      </c>
      <c r="G88" t="s">
        <v>5</v>
      </c>
    </row>
    <row r="89" spans="2:14" x14ac:dyDescent="0.25">
      <c r="B89" t="str">
        <f>_xll.barchart.udfs.BEOE("TSLA","AvailableNumberOfStrikes=1")</f>
        <v>TSLA</v>
      </c>
      <c r="C89" t="s">
        <v>6</v>
      </c>
      <c r="D89" s="1">
        <v>44946</v>
      </c>
      <c r="E89">
        <v>410</v>
      </c>
      <c r="F89">
        <f>_xll.BERTD(B$89,F$88)</f>
        <v>1009.01</v>
      </c>
      <c r="G89" s="3">
        <f>_xll.BERTD(B$89,G$88)</f>
        <v>44536.776145833333</v>
      </c>
    </row>
    <row r="90" spans="2:14" x14ac:dyDescent="0.25">
      <c r="B90" s="24" t="s">
        <v>7</v>
      </c>
      <c r="C90" s="24"/>
      <c r="D90" s="24"/>
      <c r="F90" s="24" t="s">
        <v>8</v>
      </c>
      <c r="G90" s="24"/>
      <c r="H90" s="24"/>
    </row>
    <row r="91" spans="2:14" x14ac:dyDescent="0.25">
      <c r="B91" t="s">
        <v>0</v>
      </c>
      <c r="C91" t="s">
        <v>4</v>
      </c>
      <c r="D91" t="s">
        <v>9</v>
      </c>
      <c r="E91" t="s">
        <v>10</v>
      </c>
      <c r="F91" t="s">
        <v>0</v>
      </c>
      <c r="G91" t="s">
        <v>4</v>
      </c>
      <c r="H91" t="s">
        <v>9</v>
      </c>
    </row>
    <row r="92" spans="2:14" x14ac:dyDescent="0.25">
      <c r="B92" t="str">
        <f>_xll.barchart.udfs.BEOSY(B$89,C$89,D$89,$E92,"C")</f>
        <v>TSLA|20230120|1000.00C</v>
      </c>
      <c r="C92" s="2">
        <f>_xll.BERTD($B92,C$91)</f>
        <v>283.14999999999998</v>
      </c>
      <c r="D92" s="4">
        <f>_xll.BERTD($B92,D$91)</f>
        <v>0.66720000000000002</v>
      </c>
      <c r="E92" s="5">
        <f>_xll.barchart.udfs.BEOST(B$89,C$89,D$89,F$89,0)</f>
        <v>1000</v>
      </c>
      <c r="F92" t="str">
        <f>_xll.barchart.udfs.BEOSY(B$89,C$89,D$89,$E92,"P")</f>
        <v>TSLA|20230120|1000.00P</v>
      </c>
      <c r="G92" s="2">
        <f>_xll.BERTD($F92,G$91)</f>
        <v>264.64999999999998</v>
      </c>
      <c r="H92" s="4">
        <f>_xll.BERTD($F92,H$91)</f>
        <v>0.65010000000000001</v>
      </c>
    </row>
    <row r="94" spans="2:14" x14ac:dyDescent="0.25">
      <c r="B94" t="s">
        <v>0</v>
      </c>
      <c r="C94" t="s">
        <v>1</v>
      </c>
      <c r="D94" t="s">
        <v>2</v>
      </c>
      <c r="E94" t="s">
        <v>3</v>
      </c>
      <c r="F94" t="s">
        <v>4</v>
      </c>
      <c r="G94" t="s">
        <v>5</v>
      </c>
    </row>
    <row r="95" spans="2:14" x14ac:dyDescent="0.25">
      <c r="B95" t="str">
        <f>_xll.barchart.udfs.BEOE("TSLA","AvailableNumberOfStrikes=1")</f>
        <v>TSLA</v>
      </c>
      <c r="C95" t="s">
        <v>6</v>
      </c>
      <c r="D95" s="1">
        <v>45002</v>
      </c>
      <c r="E95">
        <v>465</v>
      </c>
      <c r="F95">
        <f>_xll.BERTD(B$95,F$94)</f>
        <v>1009.01</v>
      </c>
      <c r="G95" s="3">
        <f>_xll.BERTD(B$95,G$94)</f>
        <v>44536.776145833333</v>
      </c>
    </row>
    <row r="96" spans="2:14" x14ac:dyDescent="0.25">
      <c r="B96" s="24" t="s">
        <v>7</v>
      </c>
      <c r="C96" s="24"/>
      <c r="D96" s="24"/>
      <c r="F96" s="24" t="s">
        <v>8</v>
      </c>
      <c r="G96" s="24"/>
      <c r="H96" s="24"/>
    </row>
    <row r="97" spans="2:8" x14ac:dyDescent="0.25">
      <c r="B97" t="s">
        <v>0</v>
      </c>
      <c r="C97" t="s">
        <v>4</v>
      </c>
      <c r="D97" t="s">
        <v>9</v>
      </c>
      <c r="E97" t="s">
        <v>10</v>
      </c>
      <c r="F97" t="s">
        <v>0</v>
      </c>
      <c r="G97" t="s">
        <v>4</v>
      </c>
      <c r="H97" t="s">
        <v>9</v>
      </c>
    </row>
    <row r="98" spans="2:8" x14ac:dyDescent="0.25">
      <c r="B98" t="str">
        <f>_xll.barchart.udfs.BEOSY(B$95,C$95,D$95,$E98,"C")</f>
        <v>TSLA|20230317|1000.00C</v>
      </c>
      <c r="C98" s="2">
        <f>_xll.BERTD($B98,C$97)</f>
        <v>304.77999999999997</v>
      </c>
      <c r="D98" s="4">
        <f>_xll.BERTD($B98,D$97)</f>
        <v>0.6774</v>
      </c>
      <c r="E98" s="5">
        <f>_xll.barchart.udfs.BEOST(B$95,C$95,D$95,F$95,0)</f>
        <v>1000</v>
      </c>
      <c r="F98" t="str">
        <f>_xll.barchart.udfs.BEOSY(B$95,C$95,D$95,$E98,"P")</f>
        <v>TSLA|20230317|1000.00P</v>
      </c>
      <c r="G98" s="2">
        <f>_xll.BERTD($F98,G$97)</f>
        <v>280</v>
      </c>
      <c r="H98" s="4">
        <f>_xll.BERTD($F98,H$97)</f>
        <v>0.64710000000000001</v>
      </c>
    </row>
    <row r="100" spans="2:8" x14ac:dyDescent="0.25">
      <c r="B100" t="s">
        <v>0</v>
      </c>
      <c r="C100" t="s">
        <v>1</v>
      </c>
      <c r="D100" t="s">
        <v>2</v>
      </c>
      <c r="E100" t="s">
        <v>3</v>
      </c>
      <c r="F100" t="s">
        <v>4</v>
      </c>
      <c r="G100" t="s">
        <v>5</v>
      </c>
    </row>
    <row r="101" spans="2:8" x14ac:dyDescent="0.25">
      <c r="B101" t="str">
        <f>_xll.barchart.udfs.BEOE("TSLA","AvailableNumberOfStrikes=1")</f>
        <v>TSLA</v>
      </c>
      <c r="C101" t="s">
        <v>6</v>
      </c>
      <c r="D101" s="1">
        <v>45093</v>
      </c>
      <c r="E101">
        <v>556</v>
      </c>
      <c r="F101">
        <f>_xll.BERTD(B$101,F$100)</f>
        <v>1009.01</v>
      </c>
      <c r="G101" s="3">
        <f>_xll.BERTD(B$101,G$100)</f>
        <v>44536.776145833333</v>
      </c>
    </row>
    <row r="102" spans="2:8" x14ac:dyDescent="0.25">
      <c r="B102" s="24" t="s">
        <v>7</v>
      </c>
      <c r="C102" s="24"/>
      <c r="D102" s="24"/>
      <c r="F102" s="24" t="s">
        <v>8</v>
      </c>
      <c r="G102" s="24"/>
      <c r="H102" s="24"/>
    </row>
    <row r="103" spans="2:8" x14ac:dyDescent="0.25">
      <c r="B103" t="s">
        <v>0</v>
      </c>
      <c r="C103" t="s">
        <v>4</v>
      </c>
      <c r="D103" t="s">
        <v>9</v>
      </c>
      <c r="E103" t="s">
        <v>10</v>
      </c>
      <c r="F103" t="s">
        <v>0</v>
      </c>
      <c r="G103" t="s">
        <v>4</v>
      </c>
      <c r="H103" t="s">
        <v>9</v>
      </c>
    </row>
    <row r="104" spans="2:8" x14ac:dyDescent="0.25">
      <c r="B104" t="str">
        <f>_xll.barchart.udfs.BEOSY(B$101,C$101,D$101,$E104,"C")</f>
        <v>TSLA|20230616|1000.00C</v>
      </c>
      <c r="C104" s="2">
        <f>_xll.BERTD($B104,C$103)</f>
        <v>324.89999999999998</v>
      </c>
      <c r="D104" s="4">
        <f>_xll.BERTD($B104,D$103)</f>
        <v>0.66310000000000002</v>
      </c>
      <c r="E104" s="5">
        <f>_xll.barchart.udfs.BEOST(B$101,C$101,D$101,F$101,0)</f>
        <v>1000</v>
      </c>
      <c r="F104" t="str">
        <f>_xll.barchart.udfs.BEOSY(B$101,C$101,D$101,$E104,"P")</f>
        <v>TSLA|20230616|1000.00P</v>
      </c>
      <c r="G104" s="2">
        <f>_xll.BERTD($F104,G$103)</f>
        <v>315.77999999999997</v>
      </c>
      <c r="H104" s="4">
        <f>_xll.BERTD($F104,H$103)</f>
        <v>0.64600000000000002</v>
      </c>
    </row>
    <row r="106" spans="2:8" x14ac:dyDescent="0.25">
      <c r="B106" t="s">
        <v>0</v>
      </c>
      <c r="C106" t="s">
        <v>1</v>
      </c>
      <c r="D106" t="s">
        <v>2</v>
      </c>
      <c r="E106" t="s">
        <v>3</v>
      </c>
      <c r="F106" t="s">
        <v>4</v>
      </c>
      <c r="G106" t="s">
        <v>5</v>
      </c>
    </row>
    <row r="107" spans="2:8" x14ac:dyDescent="0.25">
      <c r="B107" t="str">
        <f>_xll.barchart.udfs.BEOE("TSLA","AvailableNumberOfStrikes=1")</f>
        <v>TSLA</v>
      </c>
      <c r="C107" t="s">
        <v>6</v>
      </c>
      <c r="D107" s="1">
        <v>45310</v>
      </c>
      <c r="E107">
        <v>774</v>
      </c>
      <c r="F107">
        <f>_xll.BERTD(B$107,F$106)</f>
        <v>1009.01</v>
      </c>
      <c r="G107" s="3">
        <f>_xll.BERTD(B$107,G$106)</f>
        <v>44536.776145833333</v>
      </c>
    </row>
    <row r="108" spans="2:8" x14ac:dyDescent="0.25">
      <c r="B108" s="24" t="s">
        <v>7</v>
      </c>
      <c r="C108" s="24"/>
      <c r="D108" s="24"/>
      <c r="F108" s="24" t="s">
        <v>8</v>
      </c>
      <c r="G108" s="24"/>
      <c r="H108" s="24"/>
    </row>
    <row r="109" spans="2:8" x14ac:dyDescent="0.25">
      <c r="B109" t="s">
        <v>0</v>
      </c>
      <c r="C109" t="s">
        <v>4</v>
      </c>
      <c r="D109" t="s">
        <v>9</v>
      </c>
      <c r="E109" t="s">
        <v>10</v>
      </c>
      <c r="F109" t="s">
        <v>0</v>
      </c>
      <c r="G109" t="s">
        <v>4</v>
      </c>
      <c r="H109" t="s">
        <v>9</v>
      </c>
    </row>
    <row r="110" spans="2:8" x14ac:dyDescent="0.25">
      <c r="B110" t="str">
        <f>_xll.barchart.udfs.BEOSY(B$107,C$107,D$107,$E110,"C")</f>
        <v>TSLA|20240119|1000.00C</v>
      </c>
      <c r="C110" s="2">
        <f>_xll.BERTD($B110,C$109)</f>
        <v>384</v>
      </c>
      <c r="D110" s="4">
        <f>_xll.BERTD($B110,D$109)</f>
        <v>0.66890000000000005</v>
      </c>
      <c r="E110" s="5">
        <f>_xll.barchart.udfs.BEOST(B$107,C$107,D$107,F$107,0)</f>
        <v>1000</v>
      </c>
      <c r="F110" t="str">
        <f>_xll.barchart.udfs.BEOSY(B$107,C$107,D$107,$E110,"P")</f>
        <v>TSLA|20240119|1000.00P</v>
      </c>
      <c r="G110" s="2">
        <f>_xll.BERTD($F110,G$109)</f>
        <v>348</v>
      </c>
      <c r="H110" s="4">
        <f>_xll.BERTD($F110,H$109)</f>
        <v>0.63859999999999995</v>
      </c>
    </row>
    <row r="202" spans="3:8" x14ac:dyDescent="0.25">
      <c r="C202" s="2"/>
      <c r="D202" s="4"/>
      <c r="E202" s="5"/>
      <c r="G202" s="2"/>
      <c r="H202" s="4"/>
    </row>
    <row r="203" spans="3:8" x14ac:dyDescent="0.25">
      <c r="C203" s="2"/>
      <c r="D203" s="4"/>
      <c r="E203" s="5"/>
      <c r="G203" s="2"/>
      <c r="H203" s="4"/>
    </row>
    <row r="204" spans="3:8" x14ac:dyDescent="0.25">
      <c r="C204" s="2"/>
      <c r="D204" s="4"/>
      <c r="E204" s="5"/>
      <c r="G204" s="2"/>
      <c r="H204" s="4"/>
    </row>
    <row r="205" spans="3:8" x14ac:dyDescent="0.25">
      <c r="C205" s="2"/>
      <c r="D205" s="4"/>
      <c r="E205" s="5"/>
      <c r="G205" s="2"/>
      <c r="H205" s="4"/>
    </row>
    <row r="206" spans="3:8" x14ac:dyDescent="0.25">
      <c r="C206" s="2"/>
      <c r="D206" s="4"/>
      <c r="E206" s="5"/>
      <c r="G206" s="2"/>
      <c r="H206" s="4"/>
    </row>
  </sheetData>
  <autoFilter ref="J7:L7" xr:uid="{1562ACF2-ECE8-4786-A731-BEE9ABB1C7DD}"/>
  <mergeCells count="38">
    <mergeCell ref="B6:D6"/>
    <mergeCell ref="F6:H6"/>
    <mergeCell ref="B12:D12"/>
    <mergeCell ref="F12:H12"/>
    <mergeCell ref="B18:D18"/>
    <mergeCell ref="F18:H18"/>
    <mergeCell ref="B54:D54"/>
    <mergeCell ref="F54:H54"/>
    <mergeCell ref="B24:D24"/>
    <mergeCell ref="F24:H24"/>
    <mergeCell ref="B30:D30"/>
    <mergeCell ref="F30:H30"/>
    <mergeCell ref="B36:D36"/>
    <mergeCell ref="F36:H36"/>
    <mergeCell ref="B48:D48"/>
    <mergeCell ref="F48:H48"/>
    <mergeCell ref="B78:D78"/>
    <mergeCell ref="F78:H78"/>
    <mergeCell ref="B84:D84"/>
    <mergeCell ref="F84:H84"/>
    <mergeCell ref="B90:D90"/>
    <mergeCell ref="F90:H90"/>
    <mergeCell ref="B108:D108"/>
    <mergeCell ref="F108:H108"/>
    <mergeCell ref="A1:E1"/>
    <mergeCell ref="A2:E2"/>
    <mergeCell ref="B96:D96"/>
    <mergeCell ref="F96:H96"/>
    <mergeCell ref="B102:D102"/>
    <mergeCell ref="F102:H102"/>
    <mergeCell ref="B60:D60"/>
    <mergeCell ref="F60:H60"/>
    <mergeCell ref="B66:D66"/>
    <mergeCell ref="F66:H66"/>
    <mergeCell ref="B72:D72"/>
    <mergeCell ref="F72:H72"/>
    <mergeCell ref="B42:D42"/>
    <mergeCell ref="F42:H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mjovb</dc:creator>
  <cp:lastModifiedBy>Brendan</cp:lastModifiedBy>
  <dcterms:created xsi:type="dcterms:W3CDTF">2021-12-02T15:29:36Z</dcterms:created>
  <dcterms:modified xsi:type="dcterms:W3CDTF">2021-12-06T23:37:46Z</dcterms:modified>
</cp:coreProperties>
</file>